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joshuavarghese/Library/Mobile Documents/com~apple~CloudDocs/DD project/Public &amp; Privates with deep disclosure/Killam/"/>
    </mc:Choice>
  </mc:AlternateContent>
  <xr:revisionPtr revIDLastSave="0" documentId="8_{47E1875C-8ABF-8546-B986-2CD3FB8BED05}" xr6:coauthVersionLast="47" xr6:coauthVersionMax="47" xr10:uidLastSave="{00000000-0000-0000-0000-000000000000}"/>
  <bookViews>
    <workbookView xWindow="0" yWindow="680" windowWidth="30240" windowHeight="18120" tabRatio="500" xr2:uid="{00000000-000D-0000-FFFF-FFFF00000000}"/>
  </bookViews>
  <sheets>
    <sheet name="Dashboard" sheetId="1" r:id="rId1"/>
    <sheet name="Assumptions" sheetId="2" r:id="rId2"/>
    <sheet name="Ops" sheetId="3" r:id="rId3"/>
    <sheet name="IS" sheetId="4" r:id="rId4"/>
    <sheet name="CFS" sheetId="5" r:id="rId5"/>
    <sheet name="BS" sheetId="6" r:id="rId6"/>
    <sheet name="Return Profile" sheetId="7" r:id="rId7"/>
    <sheet name="Debt Maturity" sheetId="8" r:id="rId8"/>
    <sheet name="Development" sheetId="9" r:id="rId9"/>
    <sheet name="Amplification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2" l="1"/>
  <c r="E9" i="2" s="1"/>
  <c r="D10" i="2"/>
  <c r="E10" i="2"/>
  <c r="F10" i="2" s="1"/>
  <c r="C10" i="2"/>
  <c r="C9" i="2"/>
  <c r="B163" i="10"/>
  <c r="J125" i="10"/>
  <c r="I125" i="10"/>
  <c r="H125" i="10"/>
  <c r="G125" i="10"/>
  <c r="F125" i="10"/>
  <c r="E125" i="10"/>
  <c r="D125" i="10"/>
  <c r="C125" i="10"/>
  <c r="K122" i="10"/>
  <c r="J122" i="10"/>
  <c r="I122" i="10"/>
  <c r="H122" i="10"/>
  <c r="G122" i="10"/>
  <c r="F122" i="10"/>
  <c r="E122" i="10"/>
  <c r="D122" i="10"/>
  <c r="C122" i="10"/>
  <c r="B122" i="10"/>
  <c r="K65" i="10"/>
  <c r="I65" i="10"/>
  <c r="H65" i="10"/>
  <c r="B65" i="10"/>
  <c r="J63" i="10"/>
  <c r="I63" i="10"/>
  <c r="F63" i="10"/>
  <c r="B62" i="10"/>
  <c r="B170" i="10" s="1"/>
  <c r="K57" i="10"/>
  <c r="J57" i="10"/>
  <c r="I57" i="10"/>
  <c r="H57" i="10"/>
  <c r="G57" i="10"/>
  <c r="F57" i="10"/>
  <c r="E57" i="10"/>
  <c r="D57" i="10"/>
  <c r="C57" i="10"/>
  <c r="B57" i="10"/>
  <c r="C48" i="10"/>
  <c r="D48" i="10" s="1"/>
  <c r="E48" i="10" s="1"/>
  <c r="F48" i="10" s="1"/>
  <c r="G48" i="10" s="1"/>
  <c r="H48" i="10" s="1"/>
  <c r="I48" i="10" s="1"/>
  <c r="J48" i="10" s="1"/>
  <c r="K48" i="10" s="1"/>
  <c r="K40" i="10"/>
  <c r="I40" i="10"/>
  <c r="E40" i="10"/>
  <c r="C40" i="10"/>
  <c r="B40" i="10"/>
  <c r="C33" i="10"/>
  <c r="K28" i="10"/>
  <c r="J28" i="10"/>
  <c r="J40" i="10" s="1"/>
  <c r="I28" i="10"/>
  <c r="H28" i="10"/>
  <c r="H40" i="10" s="1"/>
  <c r="G28" i="10"/>
  <c r="G40" i="10" s="1"/>
  <c r="F28" i="10"/>
  <c r="F40" i="10" s="1"/>
  <c r="E28" i="10"/>
  <c r="D28" i="10"/>
  <c r="D40" i="10" s="1"/>
  <c r="C28" i="10"/>
  <c r="B28" i="10"/>
  <c r="K27" i="10"/>
  <c r="J27" i="10"/>
  <c r="I27" i="10"/>
  <c r="H27" i="10"/>
  <c r="G27" i="10"/>
  <c r="F27" i="10"/>
  <c r="E27" i="10"/>
  <c r="D27" i="10"/>
  <c r="C27" i="10"/>
  <c r="B27" i="10"/>
  <c r="K25" i="10"/>
  <c r="J25" i="10"/>
  <c r="I25" i="10"/>
  <c r="H25" i="10"/>
  <c r="G25" i="10"/>
  <c r="F25" i="10"/>
  <c r="E25" i="10"/>
  <c r="D25" i="10"/>
  <c r="C25" i="10"/>
  <c r="B25" i="10"/>
  <c r="K24" i="10"/>
  <c r="J24" i="10"/>
  <c r="I24" i="10"/>
  <c r="H24" i="10"/>
  <c r="G24" i="10"/>
  <c r="F24" i="10"/>
  <c r="E24" i="10"/>
  <c r="D24" i="10"/>
  <c r="C24" i="10"/>
  <c r="B24" i="10"/>
  <c r="B19" i="10"/>
  <c r="B18" i="10"/>
  <c r="B17" i="10"/>
  <c r="B16" i="10"/>
  <c r="B15" i="10"/>
  <c r="B14" i="10"/>
  <c r="B51" i="10" s="1"/>
  <c r="B13" i="10"/>
  <c r="B12" i="10"/>
  <c r="C38" i="9"/>
  <c r="D38" i="9" s="1"/>
  <c r="E38" i="9" s="1"/>
  <c r="F38" i="9" s="1"/>
  <c r="G38" i="9" s="1"/>
  <c r="H38" i="9" s="1"/>
  <c r="I38" i="9" s="1"/>
  <c r="J38" i="9" s="1"/>
  <c r="K38" i="9" s="1"/>
  <c r="K37" i="9"/>
  <c r="J37" i="9"/>
  <c r="I37" i="9"/>
  <c r="H37" i="9"/>
  <c r="G37" i="9"/>
  <c r="F37" i="9"/>
  <c r="E37" i="9"/>
  <c r="D37" i="9"/>
  <c r="C37" i="9"/>
  <c r="B37" i="9"/>
  <c r="B38" i="9" s="1"/>
  <c r="B33" i="9"/>
  <c r="B39" i="9" s="1"/>
  <c r="K32" i="9"/>
  <c r="J32" i="9"/>
  <c r="I32" i="9"/>
  <c r="H32" i="9"/>
  <c r="G32" i="9"/>
  <c r="F32" i="9"/>
  <c r="E32" i="9"/>
  <c r="D32" i="9"/>
  <c r="C32" i="9"/>
  <c r="B32" i="9"/>
  <c r="H28" i="9"/>
  <c r="K26" i="9"/>
  <c r="J26" i="9"/>
  <c r="I26" i="9"/>
  <c r="H26" i="9"/>
  <c r="G26" i="9"/>
  <c r="F26" i="9"/>
  <c r="E26" i="9"/>
  <c r="D26" i="9"/>
  <c r="C26" i="9"/>
  <c r="B26" i="9"/>
  <c r="J25" i="9"/>
  <c r="G25" i="9"/>
  <c r="F25" i="9"/>
  <c r="F27" i="9" s="1"/>
  <c r="F28" i="9" s="1"/>
  <c r="E25" i="9"/>
  <c r="K17" i="9"/>
  <c r="J17" i="9"/>
  <c r="H17" i="9"/>
  <c r="G17" i="9"/>
  <c r="F17" i="9"/>
  <c r="E17" i="9"/>
  <c r="K15" i="9"/>
  <c r="K25" i="9" s="1"/>
  <c r="K27" i="9" s="1"/>
  <c r="K28" i="9" s="1"/>
  <c r="J15" i="9"/>
  <c r="I15" i="9"/>
  <c r="H15" i="9"/>
  <c r="H25" i="9" s="1"/>
  <c r="H27" i="9" s="1"/>
  <c r="G15" i="9"/>
  <c r="F15" i="9"/>
  <c r="E15" i="9"/>
  <c r="D15" i="9"/>
  <c r="C15" i="9"/>
  <c r="C17" i="9" s="1"/>
  <c r="B15" i="9"/>
  <c r="B12" i="8"/>
  <c r="D10" i="8"/>
  <c r="P122" i="7"/>
  <c r="O122" i="7"/>
  <c r="N122" i="7"/>
  <c r="M122" i="7"/>
  <c r="L122" i="7"/>
  <c r="B88" i="7"/>
  <c r="K81" i="7"/>
  <c r="B81" i="7"/>
  <c r="H79" i="7"/>
  <c r="G79" i="7"/>
  <c r="K74" i="7"/>
  <c r="K64" i="7"/>
  <c r="G64" i="7"/>
  <c r="G66" i="7" s="1"/>
  <c r="F64" i="7"/>
  <c r="H63" i="7"/>
  <c r="F63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K49" i="7"/>
  <c r="J49" i="7"/>
  <c r="I49" i="7"/>
  <c r="H49" i="7"/>
  <c r="G49" i="7"/>
  <c r="F49" i="7"/>
  <c r="E49" i="7"/>
  <c r="D49" i="7"/>
  <c r="C49" i="7"/>
  <c r="B49" i="7"/>
  <c r="K45" i="7"/>
  <c r="J45" i="7"/>
  <c r="I45" i="7"/>
  <c r="H45" i="7"/>
  <c r="I74" i="7" s="1"/>
  <c r="G45" i="7"/>
  <c r="F45" i="7"/>
  <c r="E45" i="7"/>
  <c r="D45" i="7"/>
  <c r="C45" i="7"/>
  <c r="B45" i="7"/>
  <c r="H44" i="7"/>
  <c r="G44" i="7"/>
  <c r="F44" i="7"/>
  <c r="G62" i="7" s="1"/>
  <c r="C44" i="7"/>
  <c r="B44" i="7"/>
  <c r="K43" i="7"/>
  <c r="J43" i="7"/>
  <c r="I43" i="7"/>
  <c r="H43" i="7"/>
  <c r="G43" i="7"/>
  <c r="G81" i="7" s="1"/>
  <c r="F43" i="7"/>
  <c r="E43" i="7"/>
  <c r="D43" i="7"/>
  <c r="C43" i="7"/>
  <c r="B43" i="7"/>
  <c r="D39" i="7"/>
  <c r="K37" i="7"/>
  <c r="J37" i="7"/>
  <c r="I37" i="7"/>
  <c r="H37" i="7"/>
  <c r="G37" i="7"/>
  <c r="F37" i="7"/>
  <c r="E37" i="7"/>
  <c r="D37" i="7"/>
  <c r="C37" i="7"/>
  <c r="B37" i="7"/>
  <c r="K36" i="7"/>
  <c r="J36" i="7"/>
  <c r="I36" i="7"/>
  <c r="H36" i="7"/>
  <c r="G36" i="7"/>
  <c r="F36" i="7"/>
  <c r="E36" i="7"/>
  <c r="D36" i="7"/>
  <c r="C36" i="7"/>
  <c r="B36" i="7"/>
  <c r="K32" i="7"/>
  <c r="J32" i="7"/>
  <c r="I32" i="7"/>
  <c r="H32" i="7"/>
  <c r="G32" i="7"/>
  <c r="F32" i="7"/>
  <c r="E32" i="7"/>
  <c r="D32" i="7"/>
  <c r="C32" i="7"/>
  <c r="B32" i="7"/>
  <c r="I31" i="7"/>
  <c r="J30" i="7"/>
  <c r="I30" i="7"/>
  <c r="K29" i="7"/>
  <c r="J29" i="7"/>
  <c r="I29" i="7"/>
  <c r="H29" i="7"/>
  <c r="G29" i="7"/>
  <c r="F29" i="7"/>
  <c r="E29" i="7"/>
  <c r="D29" i="7"/>
  <c r="C29" i="7"/>
  <c r="B29" i="7"/>
  <c r="G28" i="7"/>
  <c r="F28" i="7"/>
  <c r="E28" i="7"/>
  <c r="D28" i="7"/>
  <c r="K27" i="7"/>
  <c r="J27" i="7"/>
  <c r="I27" i="7"/>
  <c r="H27" i="7"/>
  <c r="G27" i="7"/>
  <c r="F27" i="7"/>
  <c r="E27" i="7"/>
  <c r="D27" i="7"/>
  <c r="C27" i="7"/>
  <c r="B27" i="7"/>
  <c r="K22" i="7"/>
  <c r="J22" i="7"/>
  <c r="I22" i="7"/>
  <c r="H22" i="7"/>
  <c r="G22" i="7"/>
  <c r="F22" i="7"/>
  <c r="E22" i="7"/>
  <c r="D22" i="7"/>
  <c r="C22" i="7"/>
  <c r="B22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D10" i="7"/>
  <c r="K9" i="7"/>
  <c r="J9" i="7"/>
  <c r="I9" i="7"/>
  <c r="H9" i="7"/>
  <c r="G9" i="7"/>
  <c r="F9" i="7"/>
  <c r="E9" i="7"/>
  <c r="D9" i="7"/>
  <c r="C9" i="7"/>
  <c r="B9" i="7"/>
  <c r="K8" i="7"/>
  <c r="J8" i="7"/>
  <c r="I8" i="7"/>
  <c r="H8" i="7"/>
  <c r="G8" i="7"/>
  <c r="F8" i="7"/>
  <c r="E8" i="7"/>
  <c r="D8" i="7"/>
  <c r="C8" i="7"/>
  <c r="B8" i="7"/>
  <c r="I98" i="6"/>
  <c r="C98" i="6"/>
  <c r="B98" i="6"/>
  <c r="K97" i="6"/>
  <c r="J97" i="6"/>
  <c r="I97" i="6"/>
  <c r="H97" i="6"/>
  <c r="G97" i="6"/>
  <c r="F97" i="6"/>
  <c r="E97" i="6"/>
  <c r="D97" i="6"/>
  <c r="C97" i="6"/>
  <c r="B97" i="6"/>
  <c r="K96" i="6"/>
  <c r="J96" i="6"/>
  <c r="I96" i="6"/>
  <c r="H96" i="6"/>
  <c r="G96" i="6"/>
  <c r="F96" i="6"/>
  <c r="E96" i="6"/>
  <c r="D96" i="6"/>
  <c r="C96" i="6"/>
  <c r="B96" i="6"/>
  <c r="P95" i="6"/>
  <c r="K95" i="6"/>
  <c r="J95" i="6"/>
  <c r="I95" i="6"/>
  <c r="H95" i="6"/>
  <c r="G95" i="6"/>
  <c r="F95" i="6"/>
  <c r="E95" i="6"/>
  <c r="D95" i="6"/>
  <c r="C95" i="6"/>
  <c r="B95" i="6"/>
  <c r="K93" i="6"/>
  <c r="J93" i="6"/>
  <c r="I93" i="6"/>
  <c r="H93" i="6"/>
  <c r="G93" i="6"/>
  <c r="F93" i="6"/>
  <c r="E93" i="6"/>
  <c r="D93" i="6"/>
  <c r="C93" i="6"/>
  <c r="E64" i="6"/>
  <c r="K63" i="6"/>
  <c r="J63" i="6"/>
  <c r="I63" i="6"/>
  <c r="I64" i="6" s="1"/>
  <c r="H63" i="6"/>
  <c r="G63" i="6"/>
  <c r="F63" i="6"/>
  <c r="E63" i="6"/>
  <c r="D63" i="6"/>
  <c r="C63" i="6"/>
  <c r="B63" i="6"/>
  <c r="L62" i="6"/>
  <c r="M62" i="6" s="1"/>
  <c r="K59" i="6"/>
  <c r="J59" i="6"/>
  <c r="I59" i="6"/>
  <c r="I103" i="10" s="1"/>
  <c r="H59" i="6"/>
  <c r="H103" i="10" s="1"/>
  <c r="G59" i="6"/>
  <c r="G103" i="10" s="1"/>
  <c r="F59" i="6"/>
  <c r="F103" i="10" s="1"/>
  <c r="E59" i="6"/>
  <c r="E44" i="7" s="1"/>
  <c r="D59" i="6"/>
  <c r="D103" i="10" s="1"/>
  <c r="C59" i="6"/>
  <c r="C103" i="10" s="1"/>
  <c r="B59" i="6"/>
  <c r="K54" i="6"/>
  <c r="J54" i="6"/>
  <c r="I54" i="6"/>
  <c r="H54" i="6"/>
  <c r="G54" i="6"/>
  <c r="F54" i="6"/>
  <c r="E54" i="6"/>
  <c r="D54" i="6"/>
  <c r="C54" i="6"/>
  <c r="B54" i="6"/>
  <c r="K53" i="6"/>
  <c r="J53" i="6"/>
  <c r="I53" i="6"/>
  <c r="H53" i="6"/>
  <c r="G53" i="6"/>
  <c r="F53" i="6"/>
  <c r="E53" i="6"/>
  <c r="D53" i="6"/>
  <c r="C53" i="6"/>
  <c r="B53" i="6"/>
  <c r="J52" i="6"/>
  <c r="P47" i="6"/>
  <c r="O47" i="6"/>
  <c r="N47" i="6"/>
  <c r="M47" i="6"/>
  <c r="L47" i="6"/>
  <c r="D45" i="6"/>
  <c r="D49" i="6" s="1"/>
  <c r="D51" i="6" s="1"/>
  <c r="J42" i="6"/>
  <c r="E42" i="6"/>
  <c r="D42" i="6"/>
  <c r="G40" i="6"/>
  <c r="E40" i="6"/>
  <c r="J31" i="6"/>
  <c r="I31" i="6"/>
  <c r="G31" i="6"/>
  <c r="E31" i="6"/>
  <c r="P29" i="6"/>
  <c r="O29" i="6"/>
  <c r="N29" i="6"/>
  <c r="M29" i="6"/>
  <c r="L29" i="6"/>
  <c r="P28" i="6"/>
  <c r="N28" i="6"/>
  <c r="O28" i="6" s="1"/>
  <c r="O53" i="6" s="1"/>
  <c r="L28" i="6"/>
  <c r="M28" i="6" s="1"/>
  <c r="P26" i="6"/>
  <c r="O26" i="6"/>
  <c r="N26" i="6"/>
  <c r="M26" i="6"/>
  <c r="L26" i="6"/>
  <c r="P25" i="6"/>
  <c r="O25" i="6"/>
  <c r="N25" i="6"/>
  <c r="M25" i="6"/>
  <c r="L25" i="6"/>
  <c r="K23" i="6"/>
  <c r="J23" i="6"/>
  <c r="I23" i="6"/>
  <c r="H23" i="6"/>
  <c r="G23" i="6"/>
  <c r="F23" i="6"/>
  <c r="E23" i="6"/>
  <c r="D23" i="6"/>
  <c r="C23" i="6"/>
  <c r="B23" i="6"/>
  <c r="K22" i="6"/>
  <c r="K30" i="7" s="1"/>
  <c r="J22" i="6"/>
  <c r="J40" i="6" s="1"/>
  <c r="J31" i="7" s="1"/>
  <c r="I22" i="6"/>
  <c r="I40" i="6" s="1"/>
  <c r="I52" i="6" s="1"/>
  <c r="H22" i="6"/>
  <c r="G22" i="6"/>
  <c r="G30" i="7" s="1"/>
  <c r="F22" i="6"/>
  <c r="E22" i="6"/>
  <c r="E30" i="7" s="1"/>
  <c r="D22" i="6"/>
  <c r="C22" i="6"/>
  <c r="B22" i="6"/>
  <c r="K17" i="6"/>
  <c r="K28" i="7" s="1"/>
  <c r="J17" i="6"/>
  <c r="J28" i="7" s="1"/>
  <c r="I17" i="6"/>
  <c r="I28" i="7" s="1"/>
  <c r="H17" i="6"/>
  <c r="G17" i="6"/>
  <c r="G42" i="6" s="1"/>
  <c r="F17" i="6"/>
  <c r="E17" i="6"/>
  <c r="D17" i="6"/>
  <c r="C17" i="6"/>
  <c r="B17" i="6"/>
  <c r="B28" i="7" s="1"/>
  <c r="P12" i="6"/>
  <c r="O12" i="6"/>
  <c r="N12" i="6"/>
  <c r="M12" i="6"/>
  <c r="M54" i="6" s="1"/>
  <c r="L12" i="6"/>
  <c r="L54" i="6" s="1"/>
  <c r="P9" i="6"/>
  <c r="P54" i="6" s="1"/>
  <c r="O9" i="6"/>
  <c r="O54" i="6" s="1"/>
  <c r="N9" i="6"/>
  <c r="N54" i="6" s="1"/>
  <c r="M9" i="6"/>
  <c r="L9" i="6"/>
  <c r="G80" i="5"/>
  <c r="F80" i="5"/>
  <c r="E80" i="5"/>
  <c r="D80" i="5"/>
  <c r="C80" i="5"/>
  <c r="B80" i="5"/>
  <c r="C79" i="5"/>
  <c r="B79" i="5"/>
  <c r="D70" i="5"/>
  <c r="E70" i="5" s="1"/>
  <c r="F70" i="5" s="1"/>
  <c r="G70" i="5" s="1"/>
  <c r="H70" i="5" s="1"/>
  <c r="I70" i="5" s="1"/>
  <c r="J70" i="5" s="1"/>
  <c r="K70" i="5" s="1"/>
  <c r="C70" i="5"/>
  <c r="B70" i="5"/>
  <c r="B69" i="5"/>
  <c r="B71" i="5" s="1"/>
  <c r="C66" i="5"/>
  <c r="C65" i="5"/>
  <c r="F64" i="5"/>
  <c r="F65" i="5" s="1"/>
  <c r="C64" i="5"/>
  <c r="B64" i="5"/>
  <c r="B65" i="5" s="1"/>
  <c r="L56" i="5"/>
  <c r="K56" i="5"/>
  <c r="J56" i="5"/>
  <c r="I56" i="5"/>
  <c r="H56" i="5"/>
  <c r="G56" i="5"/>
  <c r="F56" i="5"/>
  <c r="E56" i="5"/>
  <c r="D56" i="5"/>
  <c r="C56" i="5"/>
  <c r="B56" i="5"/>
  <c r="F53" i="5"/>
  <c r="E53" i="5"/>
  <c r="N51" i="5"/>
  <c r="M51" i="5"/>
  <c r="K51" i="5"/>
  <c r="J51" i="5"/>
  <c r="I51" i="5"/>
  <c r="H51" i="5"/>
  <c r="G51" i="5"/>
  <c r="F51" i="5"/>
  <c r="E51" i="5"/>
  <c r="D51" i="5"/>
  <c r="C51" i="5"/>
  <c r="B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C53" i="5" s="1"/>
  <c r="B49" i="5"/>
  <c r="B53" i="5" s="1"/>
  <c r="K44" i="5"/>
  <c r="J44" i="5"/>
  <c r="I44" i="5"/>
  <c r="H44" i="5"/>
  <c r="G44" i="5"/>
  <c r="F44" i="5"/>
  <c r="E44" i="5"/>
  <c r="D44" i="5"/>
  <c r="C44" i="5"/>
  <c r="B44" i="5"/>
  <c r="P38" i="5"/>
  <c r="O38" i="5"/>
  <c r="N38" i="5"/>
  <c r="M38" i="5"/>
  <c r="L38" i="5"/>
  <c r="L37" i="5"/>
  <c r="P35" i="5"/>
  <c r="P51" i="5" s="1"/>
  <c r="O35" i="5"/>
  <c r="O51" i="5" s="1"/>
  <c r="N35" i="5"/>
  <c r="M35" i="5"/>
  <c r="L35" i="5"/>
  <c r="L51" i="5" s="1"/>
  <c r="L34" i="5"/>
  <c r="P33" i="5"/>
  <c r="O33" i="5"/>
  <c r="N33" i="5"/>
  <c r="M33" i="5"/>
  <c r="L33" i="5"/>
  <c r="K30" i="5"/>
  <c r="J30" i="5"/>
  <c r="I30" i="5"/>
  <c r="H30" i="5"/>
  <c r="G30" i="5"/>
  <c r="F30" i="5"/>
  <c r="E30" i="5"/>
  <c r="D30" i="5"/>
  <c r="C30" i="5"/>
  <c r="B30" i="5"/>
  <c r="L27" i="5"/>
  <c r="P25" i="5"/>
  <c r="O25" i="5"/>
  <c r="N25" i="5"/>
  <c r="M25" i="5"/>
  <c r="L25" i="5"/>
  <c r="P12" i="5"/>
  <c r="O12" i="5"/>
  <c r="N12" i="5"/>
  <c r="M12" i="5"/>
  <c r="L12" i="5"/>
  <c r="P11" i="5"/>
  <c r="O11" i="5"/>
  <c r="N11" i="5"/>
  <c r="M11" i="5"/>
  <c r="L11" i="5"/>
  <c r="J139" i="4"/>
  <c r="I139" i="4"/>
  <c r="H139" i="4"/>
  <c r="G139" i="4"/>
  <c r="F139" i="4"/>
  <c r="E139" i="4"/>
  <c r="D139" i="4"/>
  <c r="D140" i="4" s="1"/>
  <c r="C139" i="4"/>
  <c r="B139" i="4"/>
  <c r="D138" i="4"/>
  <c r="C138" i="4"/>
  <c r="P133" i="4"/>
  <c r="O133" i="4"/>
  <c r="N133" i="4"/>
  <c r="M133" i="4"/>
  <c r="L133" i="4"/>
  <c r="M129" i="4"/>
  <c r="L129" i="4"/>
  <c r="K120" i="4"/>
  <c r="G120" i="4"/>
  <c r="F120" i="4"/>
  <c r="E120" i="4"/>
  <c r="C120" i="4"/>
  <c r="K119" i="4"/>
  <c r="J119" i="4"/>
  <c r="I119" i="4"/>
  <c r="H119" i="4"/>
  <c r="G119" i="4"/>
  <c r="F119" i="4"/>
  <c r="E119" i="4"/>
  <c r="D119" i="4"/>
  <c r="C119" i="4"/>
  <c r="B119" i="4"/>
  <c r="K118" i="4"/>
  <c r="J118" i="4"/>
  <c r="I118" i="4"/>
  <c r="H118" i="4"/>
  <c r="G118" i="4"/>
  <c r="F118" i="4"/>
  <c r="E118" i="4"/>
  <c r="D118" i="4"/>
  <c r="C118" i="4"/>
  <c r="B118" i="4"/>
  <c r="K115" i="4"/>
  <c r="J115" i="4"/>
  <c r="I115" i="4"/>
  <c r="I120" i="4" s="1"/>
  <c r="H115" i="4"/>
  <c r="H120" i="4" s="1"/>
  <c r="G115" i="4"/>
  <c r="F115" i="4"/>
  <c r="E115" i="4"/>
  <c r="D115" i="4"/>
  <c r="C115" i="4"/>
  <c r="B115" i="4"/>
  <c r="K112" i="4"/>
  <c r="J112" i="4"/>
  <c r="I112" i="4"/>
  <c r="H112" i="4"/>
  <c r="G112" i="4"/>
  <c r="F112" i="4"/>
  <c r="E112" i="4"/>
  <c r="D112" i="4"/>
  <c r="C112" i="4"/>
  <c r="B112" i="4"/>
  <c r="K109" i="4"/>
  <c r="J109" i="4"/>
  <c r="I109" i="4"/>
  <c r="H109" i="4"/>
  <c r="G109" i="4"/>
  <c r="F109" i="4"/>
  <c r="E109" i="4"/>
  <c r="D109" i="4"/>
  <c r="D120" i="4" s="1"/>
  <c r="C109" i="4"/>
  <c r="B109" i="4"/>
  <c r="B120" i="4" s="1"/>
  <c r="K106" i="4"/>
  <c r="J106" i="4"/>
  <c r="I106" i="4"/>
  <c r="H106" i="4"/>
  <c r="G106" i="4"/>
  <c r="F106" i="4"/>
  <c r="E106" i="4"/>
  <c r="D106" i="4"/>
  <c r="C106" i="4"/>
  <c r="B106" i="4"/>
  <c r="K97" i="4"/>
  <c r="I97" i="4"/>
  <c r="D94" i="4"/>
  <c r="C94" i="4"/>
  <c r="C93" i="4"/>
  <c r="K90" i="4"/>
  <c r="J90" i="4"/>
  <c r="I90" i="4"/>
  <c r="H90" i="4"/>
  <c r="G90" i="4"/>
  <c r="F90" i="4"/>
  <c r="E90" i="4"/>
  <c r="D90" i="4"/>
  <c r="D93" i="4" s="1"/>
  <c r="C90" i="4"/>
  <c r="B90" i="4"/>
  <c r="K89" i="4"/>
  <c r="J89" i="4"/>
  <c r="J93" i="4" s="1"/>
  <c r="I89" i="4"/>
  <c r="I93" i="4" s="1"/>
  <c r="H89" i="4"/>
  <c r="H93" i="4" s="1"/>
  <c r="G89" i="4"/>
  <c r="G93" i="4" s="1"/>
  <c r="F89" i="4"/>
  <c r="F93" i="4" s="1"/>
  <c r="E89" i="4"/>
  <c r="E93" i="4" s="1"/>
  <c r="D89" i="4"/>
  <c r="C89" i="4"/>
  <c r="B89" i="4"/>
  <c r="B93" i="4" s="1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O80" i="4"/>
  <c r="N80" i="4"/>
  <c r="M80" i="4"/>
  <c r="K80" i="4"/>
  <c r="J80" i="4"/>
  <c r="I80" i="4"/>
  <c r="H80" i="4"/>
  <c r="G80" i="4"/>
  <c r="F80" i="4"/>
  <c r="E80" i="4"/>
  <c r="D80" i="4"/>
  <c r="C80" i="4"/>
  <c r="B80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P77" i="4"/>
  <c r="K77" i="4"/>
  <c r="J77" i="4"/>
  <c r="I77" i="4"/>
  <c r="H77" i="4"/>
  <c r="G77" i="4"/>
  <c r="F77" i="4"/>
  <c r="E77" i="4"/>
  <c r="D77" i="4"/>
  <c r="C77" i="4"/>
  <c r="B77" i="4"/>
  <c r="D73" i="4"/>
  <c r="B73" i="4"/>
  <c r="K72" i="4"/>
  <c r="K73" i="4" s="1"/>
  <c r="K45" i="1" s="1"/>
  <c r="J72" i="4"/>
  <c r="J43" i="1" s="1"/>
  <c r="I72" i="4"/>
  <c r="H72" i="4"/>
  <c r="G72" i="4"/>
  <c r="F72" i="4"/>
  <c r="E72" i="4"/>
  <c r="D72" i="4"/>
  <c r="C72" i="4"/>
  <c r="B72" i="4"/>
  <c r="J67" i="4"/>
  <c r="J52" i="7" s="1"/>
  <c r="H67" i="4"/>
  <c r="H52" i="7" s="1"/>
  <c r="P66" i="4"/>
  <c r="P43" i="7" s="1"/>
  <c r="O66" i="4"/>
  <c r="O43" i="7" s="1"/>
  <c r="N66" i="4"/>
  <c r="N43" i="7" s="1"/>
  <c r="N95" i="7" s="1"/>
  <c r="M66" i="4"/>
  <c r="M43" i="7" s="1"/>
  <c r="M95" i="7" s="1"/>
  <c r="L66" i="4"/>
  <c r="L43" i="7" s="1"/>
  <c r="I63" i="4"/>
  <c r="K60" i="4"/>
  <c r="I60" i="4"/>
  <c r="D60" i="4"/>
  <c r="C60" i="4"/>
  <c r="B60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K57" i="4"/>
  <c r="J57" i="4"/>
  <c r="I57" i="4"/>
  <c r="H57" i="4"/>
  <c r="G57" i="4"/>
  <c r="F57" i="4"/>
  <c r="E57" i="4"/>
  <c r="D57" i="4"/>
  <c r="C57" i="4"/>
  <c r="B57" i="4"/>
  <c r="K56" i="4"/>
  <c r="J56" i="4"/>
  <c r="I56" i="4"/>
  <c r="H56" i="4"/>
  <c r="G56" i="4"/>
  <c r="F56" i="4"/>
  <c r="E56" i="4"/>
  <c r="D56" i="4"/>
  <c r="D59" i="4" s="1"/>
  <c r="C56" i="4"/>
  <c r="B56" i="4"/>
  <c r="K55" i="4"/>
  <c r="J55" i="4"/>
  <c r="I55" i="4"/>
  <c r="I59" i="4" s="1"/>
  <c r="I62" i="4" s="1"/>
  <c r="I15" i="7" s="1"/>
  <c r="H55" i="4"/>
  <c r="D55" i="4"/>
  <c r="K52" i="4"/>
  <c r="J52" i="4"/>
  <c r="I52" i="4"/>
  <c r="H52" i="4"/>
  <c r="G52" i="4"/>
  <c r="F52" i="4"/>
  <c r="E52" i="4"/>
  <c r="D52" i="4"/>
  <c r="D108" i="10" s="1"/>
  <c r="C52" i="4"/>
  <c r="B52" i="4"/>
  <c r="K47" i="4"/>
  <c r="J47" i="4"/>
  <c r="I47" i="4"/>
  <c r="H47" i="4"/>
  <c r="G47" i="4"/>
  <c r="F47" i="4"/>
  <c r="F27" i="1" s="1"/>
  <c r="E47" i="4"/>
  <c r="D47" i="4"/>
  <c r="C47" i="4"/>
  <c r="B47" i="4"/>
  <c r="K46" i="4"/>
  <c r="J46" i="4"/>
  <c r="I46" i="4"/>
  <c r="H46" i="4"/>
  <c r="G46" i="4"/>
  <c r="F46" i="4"/>
  <c r="E46" i="4"/>
  <c r="D46" i="4"/>
  <c r="C46" i="4"/>
  <c r="J45" i="4"/>
  <c r="J51" i="7" s="1"/>
  <c r="D45" i="4"/>
  <c r="D51" i="7" s="1"/>
  <c r="C45" i="4"/>
  <c r="C51" i="7" s="1"/>
  <c r="B45" i="4"/>
  <c r="B51" i="7" s="1"/>
  <c r="I42" i="4"/>
  <c r="G42" i="4"/>
  <c r="P40" i="4"/>
  <c r="P80" i="4" s="1"/>
  <c r="O40" i="4"/>
  <c r="N40" i="4"/>
  <c r="M40" i="4"/>
  <c r="L40" i="4"/>
  <c r="L80" i="4" s="1"/>
  <c r="P30" i="4"/>
  <c r="P9" i="5" s="1"/>
  <c r="O30" i="4"/>
  <c r="N30" i="4"/>
  <c r="M30" i="4"/>
  <c r="L30" i="4"/>
  <c r="L9" i="5" s="1"/>
  <c r="K26" i="4"/>
  <c r="K42" i="4" s="1"/>
  <c r="I26" i="4"/>
  <c r="H26" i="4"/>
  <c r="G26" i="4"/>
  <c r="F26" i="4"/>
  <c r="D26" i="4"/>
  <c r="D42" i="4" s="1"/>
  <c r="P24" i="4"/>
  <c r="O24" i="4"/>
  <c r="N24" i="4"/>
  <c r="M24" i="4"/>
  <c r="L24" i="4"/>
  <c r="P21" i="4"/>
  <c r="P19" i="1" s="1"/>
  <c r="O21" i="4"/>
  <c r="N21" i="4"/>
  <c r="M21" i="4"/>
  <c r="L21" i="4"/>
  <c r="K18" i="4"/>
  <c r="J18" i="4"/>
  <c r="J26" i="4" s="1"/>
  <c r="I18" i="4"/>
  <c r="H18" i="4"/>
  <c r="H45" i="4" s="1"/>
  <c r="H51" i="7" s="1"/>
  <c r="G18" i="4"/>
  <c r="F18" i="4"/>
  <c r="E18" i="4"/>
  <c r="D18" i="4"/>
  <c r="C18" i="4"/>
  <c r="C26" i="4" s="1"/>
  <c r="B18" i="4"/>
  <c r="K75" i="3"/>
  <c r="I75" i="3"/>
  <c r="D75" i="3"/>
  <c r="B75" i="3"/>
  <c r="K74" i="3"/>
  <c r="J74" i="3"/>
  <c r="I74" i="3"/>
  <c r="H74" i="3"/>
  <c r="G74" i="3"/>
  <c r="F74" i="3"/>
  <c r="E74" i="3"/>
  <c r="D74" i="3"/>
  <c r="C74" i="3"/>
  <c r="B74" i="3"/>
  <c r="K72" i="3"/>
  <c r="J72" i="3"/>
  <c r="I72" i="3"/>
  <c r="H72" i="3"/>
  <c r="G72" i="3"/>
  <c r="F72" i="3"/>
  <c r="E72" i="3"/>
  <c r="D72" i="3"/>
  <c r="C72" i="3"/>
  <c r="B72" i="3"/>
  <c r="K71" i="3"/>
  <c r="J71" i="3"/>
  <c r="I71" i="3"/>
  <c r="H71" i="3"/>
  <c r="G71" i="3"/>
  <c r="F71" i="3"/>
  <c r="E71" i="3"/>
  <c r="D71" i="3"/>
  <c r="C71" i="3"/>
  <c r="B71" i="3"/>
  <c r="K70" i="3"/>
  <c r="J70" i="3"/>
  <c r="I70" i="3"/>
  <c r="H70" i="3"/>
  <c r="G70" i="3"/>
  <c r="F70" i="3"/>
  <c r="E70" i="3"/>
  <c r="D70" i="3"/>
  <c r="C70" i="3"/>
  <c r="B70" i="3"/>
  <c r="I60" i="3"/>
  <c r="I80" i="1" s="1"/>
  <c r="G60" i="3"/>
  <c r="F60" i="3"/>
  <c r="F80" i="1" s="1"/>
  <c r="C60" i="3"/>
  <c r="J54" i="3"/>
  <c r="G54" i="3"/>
  <c r="D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K51" i="3"/>
  <c r="J51" i="3"/>
  <c r="I51" i="3"/>
  <c r="H51" i="3"/>
  <c r="G51" i="3"/>
  <c r="F51" i="3"/>
  <c r="E51" i="3"/>
  <c r="D51" i="3"/>
  <c r="C51" i="3"/>
  <c r="B51" i="3"/>
  <c r="K48" i="3"/>
  <c r="J48" i="3"/>
  <c r="I48" i="3"/>
  <c r="H48" i="3"/>
  <c r="G48" i="3"/>
  <c r="F48" i="3"/>
  <c r="E48" i="3"/>
  <c r="D48" i="3"/>
  <c r="C48" i="3"/>
  <c r="B48" i="3"/>
  <c r="K47" i="3"/>
  <c r="J47" i="3"/>
  <c r="I47" i="3"/>
  <c r="H47" i="3"/>
  <c r="G47" i="3"/>
  <c r="F47" i="3"/>
  <c r="E47" i="3"/>
  <c r="D47" i="3"/>
  <c r="C47" i="3"/>
  <c r="B47" i="3"/>
  <c r="K46" i="3"/>
  <c r="J46" i="3"/>
  <c r="I46" i="3"/>
  <c r="H46" i="3"/>
  <c r="G46" i="3"/>
  <c r="F46" i="3"/>
  <c r="E46" i="3"/>
  <c r="D46" i="3"/>
  <c r="C46" i="3"/>
  <c r="B46" i="3"/>
  <c r="K43" i="3"/>
  <c r="J43" i="3"/>
  <c r="J60" i="3" s="1"/>
  <c r="I43" i="3"/>
  <c r="I54" i="3" s="1"/>
  <c r="H43" i="3"/>
  <c r="G43" i="3"/>
  <c r="F43" i="3"/>
  <c r="E43" i="3"/>
  <c r="D43" i="3"/>
  <c r="D60" i="3" s="1"/>
  <c r="C43" i="3"/>
  <c r="B43" i="3"/>
  <c r="B60" i="3" s="1"/>
  <c r="K38" i="3"/>
  <c r="J38" i="3"/>
  <c r="I38" i="3"/>
  <c r="H38" i="3"/>
  <c r="G38" i="3"/>
  <c r="F38" i="3"/>
  <c r="E38" i="3"/>
  <c r="D38" i="3"/>
  <c r="C38" i="3"/>
  <c r="B38" i="3"/>
  <c r="K32" i="3"/>
  <c r="J32" i="3"/>
  <c r="E32" i="3"/>
  <c r="D32" i="3"/>
  <c r="B32" i="3"/>
  <c r="K31" i="3"/>
  <c r="J31" i="3"/>
  <c r="I31" i="3"/>
  <c r="H31" i="3"/>
  <c r="G31" i="3"/>
  <c r="F31" i="3"/>
  <c r="E31" i="3"/>
  <c r="D31" i="3"/>
  <c r="C31" i="3"/>
  <c r="B31" i="3"/>
  <c r="J11" i="3"/>
  <c r="I11" i="3"/>
  <c r="H11" i="3"/>
  <c r="D11" i="3"/>
  <c r="B11" i="3"/>
  <c r="K10" i="3"/>
  <c r="K11" i="3" s="1"/>
  <c r="J10" i="3"/>
  <c r="I10" i="3"/>
  <c r="H10" i="3"/>
  <c r="G10" i="3"/>
  <c r="F10" i="3"/>
  <c r="E10" i="3"/>
  <c r="E11" i="3" s="1"/>
  <c r="D10" i="3"/>
  <c r="C10" i="3"/>
  <c r="B10" i="3"/>
  <c r="C113" i="2"/>
  <c r="B113" i="2"/>
  <c r="F112" i="2"/>
  <c r="E112" i="2"/>
  <c r="D112" i="2"/>
  <c r="C112" i="2"/>
  <c r="B112" i="2"/>
  <c r="B109" i="2"/>
  <c r="B107" i="2"/>
  <c r="D106" i="2"/>
  <c r="D107" i="2" s="1"/>
  <c r="E106" i="2" s="1"/>
  <c r="E107" i="2" s="1"/>
  <c r="F106" i="2" s="1"/>
  <c r="F107" i="2" s="1"/>
  <c r="C106" i="2"/>
  <c r="C107" i="2" s="1"/>
  <c r="F82" i="2"/>
  <c r="E82" i="2"/>
  <c r="D82" i="2"/>
  <c r="C82" i="2"/>
  <c r="B82" i="2"/>
  <c r="B81" i="2"/>
  <c r="B80" i="2"/>
  <c r="B71" i="2"/>
  <c r="E68" i="2"/>
  <c r="F68" i="2" s="1"/>
  <c r="D68" i="2"/>
  <c r="C68" i="2"/>
  <c r="C60" i="2"/>
  <c r="B60" i="2"/>
  <c r="F59" i="2"/>
  <c r="E59" i="2"/>
  <c r="D59" i="2"/>
  <c r="C59" i="2"/>
  <c r="B59" i="2"/>
  <c r="B53" i="2"/>
  <c r="B49" i="2"/>
  <c r="B48" i="2"/>
  <c r="L124" i="7" s="1"/>
  <c r="C46" i="2"/>
  <c r="C67" i="2" s="1"/>
  <c r="B46" i="2"/>
  <c r="B67" i="2" s="1"/>
  <c r="C30" i="2"/>
  <c r="D12" i="2"/>
  <c r="D8" i="2" s="1"/>
  <c r="C12" i="2"/>
  <c r="B12" i="2"/>
  <c r="C8" i="2"/>
  <c r="B8" i="2"/>
  <c r="B224" i="1"/>
  <c r="B216" i="1"/>
  <c r="B215" i="1"/>
  <c r="B210" i="1"/>
  <c r="D209" i="1"/>
  <c r="B208" i="1"/>
  <c r="B206" i="1"/>
  <c r="B199" i="1"/>
  <c r="B190" i="1"/>
  <c r="I182" i="1"/>
  <c r="H182" i="1"/>
  <c r="K181" i="1"/>
  <c r="H181" i="1"/>
  <c r="C181" i="1"/>
  <c r="K180" i="1"/>
  <c r="J180" i="1"/>
  <c r="I180" i="1"/>
  <c r="H180" i="1"/>
  <c r="G180" i="1"/>
  <c r="F180" i="1"/>
  <c r="E180" i="1"/>
  <c r="D180" i="1"/>
  <c r="C180" i="1"/>
  <c r="B180" i="1"/>
  <c r="K179" i="1"/>
  <c r="L175" i="1" s="1"/>
  <c r="J179" i="1"/>
  <c r="I179" i="1"/>
  <c r="J181" i="1" s="1"/>
  <c r="H179" i="1"/>
  <c r="G179" i="1"/>
  <c r="F179" i="1"/>
  <c r="E179" i="1"/>
  <c r="D179" i="1"/>
  <c r="E181" i="1" s="1"/>
  <c r="C179" i="1"/>
  <c r="B179" i="1"/>
  <c r="K178" i="1"/>
  <c r="J178" i="1"/>
  <c r="I178" i="1"/>
  <c r="H178" i="1"/>
  <c r="G178" i="1"/>
  <c r="F178" i="1"/>
  <c r="E178" i="1"/>
  <c r="D178" i="1"/>
  <c r="C178" i="1"/>
  <c r="B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I175" i="1"/>
  <c r="H175" i="1"/>
  <c r="E175" i="1"/>
  <c r="E182" i="1" s="1"/>
  <c r="D175" i="1"/>
  <c r="C175" i="1"/>
  <c r="D170" i="1"/>
  <c r="K168" i="1"/>
  <c r="J168" i="1"/>
  <c r="I168" i="1"/>
  <c r="H168" i="1"/>
  <c r="G168" i="1"/>
  <c r="F168" i="1"/>
  <c r="E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H166" i="1"/>
  <c r="G166" i="1"/>
  <c r="G170" i="1" s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H164" i="1"/>
  <c r="G164" i="1"/>
  <c r="F164" i="1"/>
  <c r="E164" i="1"/>
  <c r="D164" i="1"/>
  <c r="C164" i="1"/>
  <c r="B164" i="1"/>
  <c r="K163" i="1"/>
  <c r="D215" i="1" s="1"/>
  <c r="J163" i="1"/>
  <c r="I163" i="1"/>
  <c r="H163" i="1"/>
  <c r="G163" i="1"/>
  <c r="F163" i="1"/>
  <c r="E163" i="1"/>
  <c r="D163" i="1"/>
  <c r="C163" i="1"/>
  <c r="B163" i="1"/>
  <c r="K162" i="1"/>
  <c r="J162" i="1"/>
  <c r="I162" i="1"/>
  <c r="H162" i="1"/>
  <c r="G162" i="1"/>
  <c r="F162" i="1"/>
  <c r="E162" i="1"/>
  <c r="D162" i="1"/>
  <c r="C162" i="1"/>
  <c r="B162" i="1"/>
  <c r="K161" i="1"/>
  <c r="J161" i="1"/>
  <c r="J170" i="1" s="1"/>
  <c r="I161" i="1"/>
  <c r="I170" i="1" s="1"/>
  <c r="H161" i="1"/>
  <c r="H170" i="1" s="1"/>
  <c r="G161" i="1"/>
  <c r="F161" i="1"/>
  <c r="F170" i="1" s="1"/>
  <c r="E161" i="1"/>
  <c r="E170" i="1" s="1"/>
  <c r="D161" i="1"/>
  <c r="C161" i="1"/>
  <c r="B161" i="1"/>
  <c r="K137" i="1"/>
  <c r="J137" i="1"/>
  <c r="E137" i="1"/>
  <c r="K134" i="1"/>
  <c r="E133" i="1"/>
  <c r="K129" i="1"/>
  <c r="J129" i="1"/>
  <c r="I129" i="1"/>
  <c r="H129" i="1"/>
  <c r="G129" i="1"/>
  <c r="F129" i="1"/>
  <c r="E129" i="1"/>
  <c r="D129" i="1"/>
  <c r="C129" i="1"/>
  <c r="B129" i="1"/>
  <c r="C126" i="1"/>
  <c r="P125" i="1"/>
  <c r="O125" i="1"/>
  <c r="N125" i="1"/>
  <c r="M125" i="1"/>
  <c r="L125" i="1"/>
  <c r="K125" i="1"/>
  <c r="J125" i="1"/>
  <c r="I125" i="1"/>
  <c r="H125" i="1"/>
  <c r="G125" i="1"/>
  <c r="F125" i="1"/>
  <c r="F126" i="1" s="1"/>
  <c r="E125" i="1"/>
  <c r="D125" i="1"/>
  <c r="D126" i="1" s="1"/>
  <c r="C125" i="1"/>
  <c r="B125" i="1"/>
  <c r="P124" i="1"/>
  <c r="O124" i="1"/>
  <c r="N124" i="1"/>
  <c r="M124" i="1"/>
  <c r="L124" i="1"/>
  <c r="K124" i="1"/>
  <c r="K126" i="1" s="1"/>
  <c r="J124" i="1"/>
  <c r="J126" i="1" s="1"/>
  <c r="I124" i="1"/>
  <c r="H124" i="1"/>
  <c r="G124" i="1"/>
  <c r="F124" i="1"/>
  <c r="E124" i="1"/>
  <c r="E126" i="1" s="1"/>
  <c r="D124" i="1"/>
  <c r="C124" i="1"/>
  <c r="B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P122" i="1"/>
  <c r="O122" i="1"/>
  <c r="O126" i="1" s="1"/>
  <c r="N122" i="1"/>
  <c r="N126" i="1" s="1"/>
  <c r="M122" i="1"/>
  <c r="M126" i="1" s="1"/>
  <c r="L122" i="1"/>
  <c r="K122" i="1"/>
  <c r="J122" i="1"/>
  <c r="I122" i="1"/>
  <c r="I126" i="1" s="1"/>
  <c r="H122" i="1"/>
  <c r="H126" i="1" s="1"/>
  <c r="G122" i="1"/>
  <c r="F122" i="1"/>
  <c r="E122" i="1"/>
  <c r="D122" i="1"/>
  <c r="C122" i="1"/>
  <c r="B122" i="1"/>
  <c r="I119" i="1"/>
  <c r="H119" i="1"/>
  <c r="F119" i="1"/>
  <c r="E119" i="1"/>
  <c r="B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K117" i="1"/>
  <c r="J117" i="1"/>
  <c r="J119" i="1" s="1"/>
  <c r="I117" i="1"/>
  <c r="H117" i="1"/>
  <c r="G117" i="1"/>
  <c r="G119" i="1" s="1"/>
  <c r="F117" i="1"/>
  <c r="E117" i="1"/>
  <c r="D117" i="1"/>
  <c r="C117" i="1"/>
  <c r="B117" i="1"/>
  <c r="K116" i="1"/>
  <c r="K119" i="1" s="1"/>
  <c r="J116" i="1"/>
  <c r="I116" i="1"/>
  <c r="H116" i="1"/>
  <c r="G116" i="1"/>
  <c r="F116" i="1"/>
  <c r="E116" i="1"/>
  <c r="D116" i="1"/>
  <c r="D119" i="1" s="1"/>
  <c r="C116" i="1"/>
  <c r="C119" i="1" s="1"/>
  <c r="B116" i="1"/>
  <c r="L113" i="1"/>
  <c r="J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P111" i="1"/>
  <c r="O111" i="1"/>
  <c r="O113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P110" i="1"/>
  <c r="O110" i="1"/>
  <c r="N110" i="1"/>
  <c r="M110" i="1"/>
  <c r="L110" i="1"/>
  <c r="K110" i="1"/>
  <c r="J110" i="1"/>
  <c r="I110" i="1"/>
  <c r="I113" i="1" s="1"/>
  <c r="H110" i="1"/>
  <c r="G110" i="1"/>
  <c r="F110" i="1"/>
  <c r="F113" i="1" s="1"/>
  <c r="E110" i="1"/>
  <c r="D110" i="1"/>
  <c r="C110" i="1"/>
  <c r="C113" i="1" s="1"/>
  <c r="B110" i="1"/>
  <c r="P109" i="1"/>
  <c r="O109" i="1"/>
  <c r="N109" i="1"/>
  <c r="N113" i="1" s="1"/>
  <c r="M109" i="1"/>
  <c r="M113" i="1" s="1"/>
  <c r="L109" i="1"/>
  <c r="K109" i="1"/>
  <c r="J109" i="1"/>
  <c r="I109" i="1"/>
  <c r="H109" i="1"/>
  <c r="G109" i="1"/>
  <c r="G113" i="1" s="1"/>
  <c r="F109" i="1"/>
  <c r="E109" i="1"/>
  <c r="E113" i="1" s="1"/>
  <c r="D109" i="1"/>
  <c r="D113" i="1" s="1"/>
  <c r="C109" i="1"/>
  <c r="B109" i="1"/>
  <c r="K105" i="1"/>
  <c r="J105" i="1"/>
  <c r="I105" i="1"/>
  <c r="H105" i="1"/>
  <c r="G105" i="1"/>
  <c r="F105" i="1"/>
  <c r="E105" i="1"/>
  <c r="D105" i="1"/>
  <c r="C105" i="1"/>
  <c r="B105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P102" i="1"/>
  <c r="B89" i="1"/>
  <c r="B86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P80" i="1"/>
  <c r="O80" i="1"/>
  <c r="N80" i="1"/>
  <c r="M80" i="1"/>
  <c r="L80" i="1"/>
  <c r="J80" i="1"/>
  <c r="G80" i="1"/>
  <c r="D80" i="1"/>
  <c r="C80" i="1"/>
  <c r="B80" i="1"/>
  <c r="P78" i="1"/>
  <c r="M74" i="1"/>
  <c r="L74" i="1"/>
  <c r="K74" i="1"/>
  <c r="J74" i="1"/>
  <c r="I74" i="1"/>
  <c r="H74" i="1"/>
  <c r="G74" i="1"/>
  <c r="F74" i="1"/>
  <c r="E74" i="1"/>
  <c r="D74" i="1"/>
  <c r="C74" i="1"/>
  <c r="B74" i="1"/>
  <c r="K72" i="1"/>
  <c r="J72" i="1"/>
  <c r="I72" i="1"/>
  <c r="H72" i="1"/>
  <c r="G72" i="1"/>
  <c r="F72" i="1"/>
  <c r="E72" i="1"/>
  <c r="D72" i="1"/>
  <c r="C72" i="1"/>
  <c r="B72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G69" i="1"/>
  <c r="F69" i="1"/>
  <c r="E69" i="1"/>
  <c r="D69" i="1"/>
  <c r="C69" i="1"/>
  <c r="B69" i="1"/>
  <c r="P68" i="1"/>
  <c r="D68" i="1"/>
  <c r="J65" i="1"/>
  <c r="G65" i="1"/>
  <c r="E65" i="1"/>
  <c r="D65" i="1"/>
  <c r="J62" i="1"/>
  <c r="I62" i="1"/>
  <c r="G62" i="1"/>
  <c r="E62" i="1"/>
  <c r="K61" i="1"/>
  <c r="J61" i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K59" i="1"/>
  <c r="J59" i="1"/>
  <c r="I59" i="1"/>
  <c r="H59" i="1"/>
  <c r="G59" i="1"/>
  <c r="F59" i="1"/>
  <c r="E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F50" i="1"/>
  <c r="E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H48" i="1"/>
  <c r="G48" i="1"/>
  <c r="F48" i="1"/>
  <c r="E48" i="1"/>
  <c r="D48" i="1"/>
  <c r="C48" i="1"/>
  <c r="B48" i="1"/>
  <c r="D45" i="1"/>
  <c r="B45" i="1"/>
  <c r="K43" i="1"/>
  <c r="I43" i="1"/>
  <c r="H43" i="1"/>
  <c r="G43" i="1"/>
  <c r="F43" i="1"/>
  <c r="E43" i="1"/>
  <c r="D43" i="1"/>
  <c r="C43" i="1"/>
  <c r="B43" i="1"/>
  <c r="K42" i="1"/>
  <c r="J42" i="1"/>
  <c r="I42" i="1"/>
  <c r="I137" i="1" s="1"/>
  <c r="H42" i="1"/>
  <c r="H137" i="1" s="1"/>
  <c r="G42" i="1"/>
  <c r="F42" i="1"/>
  <c r="F137" i="1" s="1"/>
  <c r="E42" i="1"/>
  <c r="D42" i="1"/>
  <c r="C42" i="1"/>
  <c r="B42" i="1"/>
  <c r="B137" i="1" s="1"/>
  <c r="K41" i="1"/>
  <c r="K44" i="1" s="1"/>
  <c r="J41" i="1"/>
  <c r="J44" i="1" s="1"/>
  <c r="I41" i="1"/>
  <c r="I44" i="1" s="1"/>
  <c r="H41" i="1"/>
  <c r="H44" i="1" s="1"/>
  <c r="G41" i="1"/>
  <c r="G44" i="1" s="1"/>
  <c r="F41" i="1"/>
  <c r="F44" i="1" s="1"/>
  <c r="E41" i="1"/>
  <c r="E44" i="1" s="1"/>
  <c r="D41" i="1"/>
  <c r="D44" i="1" s="1"/>
  <c r="C41" i="1"/>
  <c r="C44" i="1" s="1"/>
  <c r="B41" i="1"/>
  <c r="B44" i="1" s="1"/>
  <c r="J37" i="1"/>
  <c r="H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I35" i="1"/>
  <c r="I135" i="1" s="1"/>
  <c r="K34" i="1"/>
  <c r="J34" i="1"/>
  <c r="I34" i="1"/>
  <c r="H34" i="1"/>
  <c r="G34" i="1"/>
  <c r="E34" i="1"/>
  <c r="D34" i="1"/>
  <c r="C34" i="1"/>
  <c r="B34" i="1"/>
  <c r="K32" i="1"/>
  <c r="J32" i="1"/>
  <c r="I32" i="1"/>
  <c r="H32" i="1"/>
  <c r="G32" i="1"/>
  <c r="F32" i="1"/>
  <c r="E32" i="1"/>
  <c r="E134" i="1" s="1"/>
  <c r="D32" i="1"/>
  <c r="D134" i="1" s="1"/>
  <c r="C32" i="1"/>
  <c r="C134" i="1" s="1"/>
  <c r="B32" i="1"/>
  <c r="I31" i="1"/>
  <c r="K30" i="1"/>
  <c r="K133" i="1" s="1"/>
  <c r="J30" i="1"/>
  <c r="J133" i="1" s="1"/>
  <c r="I30" i="1"/>
  <c r="H30" i="1"/>
  <c r="G30" i="1"/>
  <c r="F30" i="1"/>
  <c r="F133" i="1" s="1"/>
  <c r="E30" i="1"/>
  <c r="D30" i="1"/>
  <c r="D133" i="1" s="1"/>
  <c r="C30" i="1"/>
  <c r="C133" i="1" s="1"/>
  <c r="B30" i="1"/>
  <c r="K27" i="1"/>
  <c r="J27" i="1"/>
  <c r="I27" i="1"/>
  <c r="H27" i="1"/>
  <c r="G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J25" i="1"/>
  <c r="D25" i="1"/>
  <c r="C25" i="1"/>
  <c r="B25" i="1"/>
  <c r="K23" i="1"/>
  <c r="I23" i="1"/>
  <c r="G23" i="1"/>
  <c r="D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D21" i="1"/>
  <c r="C21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H16" i="1"/>
  <c r="G16" i="1"/>
  <c r="F16" i="1"/>
  <c r="E16" i="1"/>
  <c r="D16" i="1"/>
  <c r="C16" i="1"/>
  <c r="B16" i="1"/>
  <c r="B12" i="1"/>
  <c r="B11" i="1"/>
  <c r="B13" i="1" s="1"/>
  <c r="B8" i="1"/>
  <c r="F9" i="2" l="1"/>
  <c r="F12" i="2" s="1"/>
  <c r="F8" i="2" s="1"/>
  <c r="E12" i="2"/>
  <c r="E8" i="2" s="1"/>
  <c r="L20" i="6"/>
  <c r="B50" i="2"/>
  <c r="B55" i="2" s="1"/>
  <c r="L29" i="4" s="1"/>
  <c r="D141" i="4"/>
  <c r="D71" i="6"/>
  <c r="G126" i="1"/>
  <c r="E54" i="3"/>
  <c r="E60" i="3"/>
  <c r="E80" i="1" s="1"/>
  <c r="E14" i="7"/>
  <c r="E53" i="7"/>
  <c r="C137" i="1"/>
  <c r="J78" i="5"/>
  <c r="J41" i="6"/>
  <c r="J42" i="4"/>
  <c r="E108" i="10"/>
  <c r="E39" i="7"/>
  <c r="F97" i="4"/>
  <c r="E67" i="4"/>
  <c r="F53" i="7"/>
  <c r="F14" i="7"/>
  <c r="F94" i="4"/>
  <c r="J53" i="5"/>
  <c r="J80" i="5"/>
  <c r="D137" i="1"/>
  <c r="B103" i="2"/>
  <c r="B104" i="2" s="1"/>
  <c r="C14" i="2"/>
  <c r="D14" i="2" s="1"/>
  <c r="E14" i="2" s="1"/>
  <c r="F14" i="2" s="1"/>
  <c r="D8" i="5"/>
  <c r="D16" i="5" s="1"/>
  <c r="D76" i="4"/>
  <c r="D85" i="4" s="1"/>
  <c r="D86" i="4" s="1"/>
  <c r="F108" i="10"/>
  <c r="F39" i="7"/>
  <c r="F34" i="1"/>
  <c r="G97" i="4"/>
  <c r="F67" i="4"/>
  <c r="D62" i="4"/>
  <c r="G53" i="7"/>
  <c r="G14" i="7"/>
  <c r="G94" i="4"/>
  <c r="E21" i="7"/>
  <c r="E54" i="5"/>
  <c r="E79" i="5"/>
  <c r="E64" i="5"/>
  <c r="E65" i="5" s="1"/>
  <c r="E58" i="5"/>
  <c r="F74" i="5"/>
  <c r="E57" i="5"/>
  <c r="E60" i="5"/>
  <c r="E66" i="5"/>
  <c r="H25" i="1"/>
  <c r="G133" i="1"/>
  <c r="F134" i="1"/>
  <c r="D102" i="1"/>
  <c r="D104" i="1" s="1"/>
  <c r="H113" i="1"/>
  <c r="D181" i="1"/>
  <c r="H54" i="3"/>
  <c r="H60" i="3"/>
  <c r="H80" i="1" s="1"/>
  <c r="F42" i="4"/>
  <c r="F78" i="5"/>
  <c r="G108" i="10"/>
  <c r="G39" i="7"/>
  <c r="G67" i="4"/>
  <c r="H53" i="7"/>
  <c r="H14" i="7"/>
  <c r="H94" i="4"/>
  <c r="F54" i="5"/>
  <c r="F21" i="7"/>
  <c r="F57" i="5"/>
  <c r="F58" i="5"/>
  <c r="F60" i="5"/>
  <c r="F79" i="5"/>
  <c r="F66" i="5"/>
  <c r="H133" i="1"/>
  <c r="H134" i="1" s="1"/>
  <c r="G134" i="1"/>
  <c r="I133" i="1"/>
  <c r="I134" i="1" s="1"/>
  <c r="I136" i="1" s="1"/>
  <c r="D182" i="1"/>
  <c r="C41" i="2"/>
  <c r="G41" i="6"/>
  <c r="G78" i="5"/>
  <c r="I53" i="7"/>
  <c r="I14" i="7"/>
  <c r="I94" i="4"/>
  <c r="I80" i="5"/>
  <c r="I53" i="5"/>
  <c r="G137" i="1"/>
  <c r="L126" i="1"/>
  <c r="K170" i="1"/>
  <c r="F181" i="1"/>
  <c r="I181" i="1"/>
  <c r="H41" i="6"/>
  <c r="H78" i="5"/>
  <c r="G76" i="4"/>
  <c r="G85" i="4" s="1"/>
  <c r="G86" i="4" s="1"/>
  <c r="G8" i="5"/>
  <c r="G16" i="5" s="1"/>
  <c r="J53" i="7"/>
  <c r="J94" i="4"/>
  <c r="J14" i="7"/>
  <c r="C113" i="10"/>
  <c r="C40" i="7"/>
  <c r="D98" i="4"/>
  <c r="C100" i="4"/>
  <c r="G181" i="1"/>
  <c r="F182" i="1"/>
  <c r="B58" i="2"/>
  <c r="B61" i="2" s="1"/>
  <c r="K60" i="3"/>
  <c r="K80" i="1" s="1"/>
  <c r="K54" i="3"/>
  <c r="H42" i="4"/>
  <c r="I68" i="4"/>
  <c r="I38" i="1" s="1"/>
  <c r="I41" i="7"/>
  <c r="D113" i="10"/>
  <c r="D40" i="7"/>
  <c r="D100" i="4"/>
  <c r="K64" i="6"/>
  <c r="J134" i="1"/>
  <c r="K76" i="4"/>
  <c r="K85" i="4" s="1"/>
  <c r="K86" i="4" s="1"/>
  <c r="K8" i="5"/>
  <c r="K16" i="5" s="1"/>
  <c r="I8" i="5"/>
  <c r="I16" i="5" s="1"/>
  <c r="I76" i="4"/>
  <c r="I85" i="4" s="1"/>
  <c r="I86" i="4" s="1"/>
  <c r="E94" i="4"/>
  <c r="K113" i="1"/>
  <c r="G175" i="1"/>
  <c r="G182" i="1" s="1"/>
  <c r="C78" i="5"/>
  <c r="C41" i="6"/>
  <c r="C42" i="4"/>
  <c r="H97" i="4"/>
  <c r="D14" i="7"/>
  <c r="D53" i="7"/>
  <c r="B170" i="1"/>
  <c r="B171" i="1" s="1"/>
  <c r="C171" i="1" s="1"/>
  <c r="D171" i="1" s="1"/>
  <c r="E171" i="1" s="1"/>
  <c r="F171" i="1" s="1"/>
  <c r="G171" i="1" s="1"/>
  <c r="H171" i="1" s="1"/>
  <c r="I171" i="1" s="1"/>
  <c r="J171" i="1" s="1"/>
  <c r="K175" i="1"/>
  <c r="K182" i="1" s="1"/>
  <c r="E26" i="10"/>
  <c r="E61" i="6"/>
  <c r="E10" i="7"/>
  <c r="E73" i="4"/>
  <c r="E45" i="1" s="1"/>
  <c r="E45" i="6"/>
  <c r="E49" i="6" s="1"/>
  <c r="E51" i="6" s="1"/>
  <c r="E45" i="4"/>
  <c r="E60" i="4"/>
  <c r="E26" i="4"/>
  <c r="E75" i="3"/>
  <c r="E55" i="4"/>
  <c r="E59" i="4" s="1"/>
  <c r="M9" i="5"/>
  <c r="M77" i="4"/>
  <c r="H59" i="4"/>
  <c r="E138" i="4"/>
  <c r="E140" i="4" s="1"/>
  <c r="B113" i="1"/>
  <c r="P113" i="1"/>
  <c r="B126" i="1"/>
  <c r="P126" i="1"/>
  <c r="C170" i="1"/>
  <c r="J175" i="1"/>
  <c r="J182" i="1" s="1"/>
  <c r="C182" i="1"/>
  <c r="F26" i="10"/>
  <c r="F10" i="7"/>
  <c r="F45" i="6"/>
  <c r="F49" i="6" s="1"/>
  <c r="F51" i="6" s="1"/>
  <c r="F61" i="6"/>
  <c r="F11" i="3"/>
  <c r="F32" i="3"/>
  <c r="F75" i="3"/>
  <c r="F73" i="4"/>
  <c r="F45" i="1" s="1"/>
  <c r="F54" i="3"/>
  <c r="F60" i="4"/>
  <c r="F138" i="4"/>
  <c r="F140" i="4" s="1"/>
  <c r="F55" i="4"/>
  <c r="F59" i="4" s="1"/>
  <c r="F62" i="4" s="1"/>
  <c r="F45" i="4"/>
  <c r="N9" i="5"/>
  <c r="N77" i="4"/>
  <c r="C69" i="5"/>
  <c r="B133" i="1"/>
  <c r="B134" i="1" s="1"/>
  <c r="G26" i="10"/>
  <c r="G10" i="7"/>
  <c r="G45" i="6"/>
  <c r="G49" i="6" s="1"/>
  <c r="G51" i="6" s="1"/>
  <c r="G56" i="6" s="1"/>
  <c r="G58" i="6" s="1"/>
  <c r="G61" i="6"/>
  <c r="G73" i="4"/>
  <c r="G45" i="1" s="1"/>
  <c r="G32" i="3"/>
  <c r="G60" i="4"/>
  <c r="G138" i="4"/>
  <c r="G140" i="4" s="1"/>
  <c r="G55" i="4"/>
  <c r="G59" i="4" s="1"/>
  <c r="G75" i="3"/>
  <c r="G11" i="3"/>
  <c r="G45" i="4"/>
  <c r="O77" i="4"/>
  <c r="O9" i="5"/>
  <c r="J59" i="4"/>
  <c r="D67" i="4"/>
  <c r="E97" i="4"/>
  <c r="C140" i="4"/>
  <c r="F30" i="7"/>
  <c r="F42" i="6"/>
  <c r="F65" i="1" s="1"/>
  <c r="F40" i="6"/>
  <c r="F41" i="6" s="1"/>
  <c r="F31" i="6"/>
  <c r="C10" i="7"/>
  <c r="C26" i="10"/>
  <c r="C43" i="10" s="1"/>
  <c r="C61" i="6"/>
  <c r="C45" i="6"/>
  <c r="C49" i="6" s="1"/>
  <c r="C51" i="6" s="1"/>
  <c r="C73" i="4"/>
  <c r="C45" i="1" s="1"/>
  <c r="D78" i="5"/>
  <c r="D41" i="6"/>
  <c r="C39" i="7"/>
  <c r="C108" i="10"/>
  <c r="C97" i="4"/>
  <c r="G31" i="7"/>
  <c r="G64" i="6"/>
  <c r="M34" i="5"/>
  <c r="D30" i="2"/>
  <c r="M27" i="5"/>
  <c r="K40" i="6"/>
  <c r="J103" i="10"/>
  <c r="J98" i="6"/>
  <c r="J44" i="7"/>
  <c r="H28" i="7"/>
  <c r="H42" i="6"/>
  <c r="H65" i="1" s="1"/>
  <c r="H26" i="10"/>
  <c r="H10" i="7"/>
  <c r="H61" i="6"/>
  <c r="H73" i="4"/>
  <c r="H45" i="1" s="1"/>
  <c r="H32" i="3"/>
  <c r="H75" i="3"/>
  <c r="H45" i="6"/>
  <c r="H49" i="6" s="1"/>
  <c r="H51" i="6" s="1"/>
  <c r="I41" i="6"/>
  <c r="I78" i="5"/>
  <c r="H108" i="10"/>
  <c r="H39" i="7"/>
  <c r="K59" i="4"/>
  <c r="K62" i="4" s="1"/>
  <c r="K93" i="4"/>
  <c r="K80" i="5"/>
  <c r="N62" i="6"/>
  <c r="F175" i="1"/>
  <c r="I26" i="10"/>
  <c r="I61" i="6"/>
  <c r="I45" i="6"/>
  <c r="I49" i="6" s="1"/>
  <c r="I51" i="6" s="1"/>
  <c r="I56" i="6" s="1"/>
  <c r="I58" i="6" s="1"/>
  <c r="I10" i="7"/>
  <c r="I45" i="4"/>
  <c r="I39" i="7"/>
  <c r="I108" i="10"/>
  <c r="J97" i="4"/>
  <c r="I67" i="4"/>
  <c r="C14" i="7"/>
  <c r="C53" i="7"/>
  <c r="K53" i="5"/>
  <c r="J10" i="7"/>
  <c r="J26" i="10"/>
  <c r="J61" i="6"/>
  <c r="J60" i="4"/>
  <c r="J75" i="3"/>
  <c r="J45" i="6"/>
  <c r="J49" i="6" s="1"/>
  <c r="J51" i="6" s="1"/>
  <c r="J56" i="6" s="1"/>
  <c r="J58" i="6" s="1"/>
  <c r="J138" i="4"/>
  <c r="J140" i="4" s="1"/>
  <c r="K78" i="5"/>
  <c r="K41" i="6"/>
  <c r="J108" i="10"/>
  <c r="J39" i="7"/>
  <c r="L95" i="7"/>
  <c r="L119" i="7"/>
  <c r="H138" i="4"/>
  <c r="H140" i="4" s="1"/>
  <c r="P53" i="6"/>
  <c r="G52" i="6"/>
  <c r="E79" i="7"/>
  <c r="E64" i="7"/>
  <c r="E74" i="7"/>
  <c r="E81" i="7"/>
  <c r="C32" i="3"/>
  <c r="C54" i="3"/>
  <c r="K26" i="10"/>
  <c r="K10" i="7"/>
  <c r="L126" i="4"/>
  <c r="K45" i="4"/>
  <c r="K61" i="6"/>
  <c r="K108" i="10"/>
  <c r="K39" i="7"/>
  <c r="K67" i="4"/>
  <c r="H60" i="4"/>
  <c r="I138" i="4"/>
  <c r="I140" i="4" s="1"/>
  <c r="K138" i="4"/>
  <c r="K45" i="6"/>
  <c r="O119" i="7"/>
  <c r="O95" i="7"/>
  <c r="L77" i="4"/>
  <c r="B53" i="7"/>
  <c r="B14" i="7"/>
  <c r="B94" i="4"/>
  <c r="B21" i="7"/>
  <c r="B60" i="5"/>
  <c r="C74" i="5"/>
  <c r="B58" i="5"/>
  <c r="B57" i="5"/>
  <c r="B54" i="5"/>
  <c r="B66" i="5"/>
  <c r="L93" i="6"/>
  <c r="L95" i="6"/>
  <c r="L49" i="7"/>
  <c r="C18" i="1"/>
  <c r="H69" i="1"/>
  <c r="C80" i="2"/>
  <c r="C55" i="4"/>
  <c r="C59" i="4" s="1"/>
  <c r="C62" i="4" s="1"/>
  <c r="P95" i="7"/>
  <c r="P119" i="7"/>
  <c r="I73" i="4"/>
  <c r="I45" i="1" s="1"/>
  <c r="K31" i="6"/>
  <c r="M93" i="6"/>
  <c r="M95" i="6"/>
  <c r="M49" i="7"/>
  <c r="N93" i="6"/>
  <c r="C11" i="3"/>
  <c r="I32" i="3"/>
  <c r="C75" i="3"/>
  <c r="C67" i="4"/>
  <c r="J73" i="4"/>
  <c r="J45" i="1" s="1"/>
  <c r="D97" i="4"/>
  <c r="J120" i="4"/>
  <c r="C42" i="6"/>
  <c r="C65" i="1" s="1"/>
  <c r="C28" i="7"/>
  <c r="M119" i="7"/>
  <c r="D33" i="10"/>
  <c r="C34" i="10"/>
  <c r="C35" i="10" s="1"/>
  <c r="H80" i="5"/>
  <c r="H53" i="5"/>
  <c r="I42" i="6"/>
  <c r="I65" i="1" s="1"/>
  <c r="C64" i="6"/>
  <c r="C65" i="6" s="1"/>
  <c r="C77" i="1" s="1"/>
  <c r="H62" i="7"/>
  <c r="G50" i="7"/>
  <c r="G63" i="7"/>
  <c r="K42" i="6"/>
  <c r="K65" i="1" s="1"/>
  <c r="I192" i="10"/>
  <c r="G150" i="1" s="1"/>
  <c r="K125" i="10"/>
  <c r="K98" i="6"/>
  <c r="K44" i="7"/>
  <c r="K103" i="10"/>
  <c r="B89" i="7"/>
  <c r="B90" i="7" s="1"/>
  <c r="B101" i="7" s="1"/>
  <c r="C79" i="7"/>
  <c r="C64" i="7"/>
  <c r="C81" i="7"/>
  <c r="B82" i="7" s="1"/>
  <c r="I44" i="7"/>
  <c r="H64" i="6"/>
  <c r="I29" i="10"/>
  <c r="G29" i="10"/>
  <c r="D29" i="10"/>
  <c r="K29" i="10"/>
  <c r="J29" i="10"/>
  <c r="H29" i="10"/>
  <c r="F29" i="10"/>
  <c r="C29" i="10"/>
  <c r="B61" i="6"/>
  <c r="B29" i="10"/>
  <c r="B34" i="10" s="1"/>
  <c r="B35" i="10" s="1"/>
  <c r="B10" i="7"/>
  <c r="B26" i="10"/>
  <c r="B43" i="10" s="1"/>
  <c r="E29" i="10"/>
  <c r="B45" i="6"/>
  <c r="B49" i="6" s="1"/>
  <c r="B51" i="6" s="1"/>
  <c r="D26" i="10"/>
  <c r="D61" i="6"/>
  <c r="B26" i="4"/>
  <c r="B55" i="4"/>
  <c r="B59" i="4" s="1"/>
  <c r="B62" i="4" s="1"/>
  <c r="C21" i="7"/>
  <c r="C58" i="5"/>
  <c r="C57" i="5"/>
  <c r="C60" i="5"/>
  <c r="C54" i="5"/>
  <c r="B31" i="6"/>
  <c r="B30" i="7"/>
  <c r="B40" i="6"/>
  <c r="B64" i="6" s="1"/>
  <c r="B65" i="6" s="1"/>
  <c r="B77" i="1" s="1"/>
  <c r="L53" i="6"/>
  <c r="D62" i="10"/>
  <c r="D53" i="5"/>
  <c r="D74" i="5" s="1"/>
  <c r="C30" i="7"/>
  <c r="C40" i="6"/>
  <c r="C31" i="6"/>
  <c r="M53" i="6"/>
  <c r="B42" i="6"/>
  <c r="B65" i="1" s="1"/>
  <c r="F62" i="7"/>
  <c r="E63" i="7"/>
  <c r="E50" i="7"/>
  <c r="B138" i="4"/>
  <c r="B140" i="4" s="1"/>
  <c r="D30" i="7"/>
  <c r="D40" i="6"/>
  <c r="D31" i="6"/>
  <c r="N53" i="6"/>
  <c r="B25" i="9"/>
  <c r="B27" i="9" s="1"/>
  <c r="B28" i="9" s="1"/>
  <c r="B17" i="9"/>
  <c r="I81" i="7"/>
  <c r="I79" i="7"/>
  <c r="I64" i="7"/>
  <c r="J64" i="7"/>
  <c r="J79" i="7"/>
  <c r="G74" i="7"/>
  <c r="F74" i="7"/>
  <c r="C33" i="9"/>
  <c r="H74" i="7"/>
  <c r="J81" i="7"/>
  <c r="B50" i="7"/>
  <c r="B79" i="7"/>
  <c r="C67" i="7"/>
  <c r="C62" i="7"/>
  <c r="G134" i="10"/>
  <c r="F134" i="10"/>
  <c r="D134" i="10"/>
  <c r="B108" i="10"/>
  <c r="C134" i="10"/>
  <c r="K134" i="10"/>
  <c r="J134" i="10"/>
  <c r="I134" i="10"/>
  <c r="H134" i="10"/>
  <c r="B39" i="7"/>
  <c r="E134" i="10"/>
  <c r="B67" i="4"/>
  <c r="N95" i="6"/>
  <c r="C63" i="7"/>
  <c r="C50" i="7"/>
  <c r="D62" i="7"/>
  <c r="J74" i="7"/>
  <c r="G53" i="5"/>
  <c r="H30" i="7"/>
  <c r="H40" i="6"/>
  <c r="H31" i="6"/>
  <c r="J64" i="6"/>
  <c r="J65" i="6" s="1"/>
  <c r="J77" i="1" s="1"/>
  <c r="D44" i="7"/>
  <c r="N49" i="7"/>
  <c r="D67" i="7"/>
  <c r="I17" i="9"/>
  <c r="I25" i="9"/>
  <c r="I27" i="9" s="1"/>
  <c r="I28" i="9" s="1"/>
  <c r="E31" i="7"/>
  <c r="E52" i="6"/>
  <c r="E103" i="10"/>
  <c r="E98" i="6"/>
  <c r="D98" i="6"/>
  <c r="G65" i="7"/>
  <c r="F50" i="7"/>
  <c r="D11" i="8"/>
  <c r="D9" i="8"/>
  <c r="D8" i="8"/>
  <c r="D7" i="8"/>
  <c r="D6" i="8"/>
  <c r="D81" i="7"/>
  <c r="D79" i="7"/>
  <c r="D64" i="7"/>
  <c r="I62" i="7"/>
  <c r="H50" i="7"/>
  <c r="D74" i="7"/>
  <c r="D75" i="7" s="1"/>
  <c r="D76" i="7" s="1"/>
  <c r="E27" i="9"/>
  <c r="E28" i="9" s="1"/>
  <c r="F98" i="6"/>
  <c r="F81" i="7"/>
  <c r="F79" i="7"/>
  <c r="C74" i="7"/>
  <c r="C75" i="7" s="1"/>
  <c r="C76" i="7" s="1"/>
  <c r="G67" i="7"/>
  <c r="G63" i="10"/>
  <c r="E63" i="10"/>
  <c r="B63" i="10"/>
  <c r="K63" i="10"/>
  <c r="D63" i="10"/>
  <c r="C63" i="10"/>
  <c r="H63" i="10"/>
  <c r="G144" i="10"/>
  <c r="G98" i="6"/>
  <c r="H67" i="7"/>
  <c r="G27" i="9"/>
  <c r="G28" i="9" s="1"/>
  <c r="B52" i="10"/>
  <c r="B37" i="10"/>
  <c r="H98" i="6"/>
  <c r="I67" i="7"/>
  <c r="C62" i="10"/>
  <c r="B167" i="10"/>
  <c r="B164" i="10"/>
  <c r="O49" i="7"/>
  <c r="O95" i="6"/>
  <c r="O93" i="6"/>
  <c r="I144" i="10"/>
  <c r="H144" i="10"/>
  <c r="F144" i="10"/>
  <c r="E144" i="10"/>
  <c r="D144" i="10"/>
  <c r="B103" i="10"/>
  <c r="C144" i="10"/>
  <c r="B125" i="10"/>
  <c r="B126" i="10" s="1"/>
  <c r="K144" i="10"/>
  <c r="J144" i="10"/>
  <c r="N119" i="7"/>
  <c r="P93" i="6"/>
  <c r="P49" i="7"/>
  <c r="H64" i="7"/>
  <c r="H81" i="7"/>
  <c r="F67" i="7"/>
  <c r="D25" i="9"/>
  <c r="D27" i="9" s="1"/>
  <c r="D28" i="9" s="1"/>
  <c r="D17" i="9"/>
  <c r="C25" i="9"/>
  <c r="C27" i="9" s="1"/>
  <c r="C28" i="9" s="1"/>
  <c r="J27" i="9"/>
  <c r="J28" i="9" s="1"/>
  <c r="J65" i="10"/>
  <c r="G65" i="10"/>
  <c r="E65" i="10"/>
  <c r="C65" i="10"/>
  <c r="D65" i="10"/>
  <c r="F65" i="10"/>
  <c r="I71" i="6" l="1"/>
  <c r="I68" i="1"/>
  <c r="I141" i="4"/>
  <c r="I102" i="1"/>
  <c r="I104" i="1" s="1"/>
  <c r="I65" i="6"/>
  <c r="I77" i="1" s="1"/>
  <c r="E71" i="6"/>
  <c r="E141" i="4"/>
  <c r="E68" i="1"/>
  <c r="E102" i="1"/>
  <c r="E104" i="1" s="1"/>
  <c r="E65" i="6"/>
  <c r="E77" i="1" s="1"/>
  <c r="H71" i="6"/>
  <c r="H141" i="4"/>
  <c r="H68" i="1"/>
  <c r="H102" i="1"/>
  <c r="H104" i="1" s="1"/>
  <c r="G71" i="6"/>
  <c r="G141" i="4"/>
  <c r="G68" i="1"/>
  <c r="G102" i="1"/>
  <c r="G104" i="1" s="1"/>
  <c r="F71" i="6"/>
  <c r="F141" i="4"/>
  <c r="F68" i="1"/>
  <c r="F102" i="1"/>
  <c r="F104" i="1" s="1"/>
  <c r="F118" i="10"/>
  <c r="F55" i="7"/>
  <c r="F64" i="1"/>
  <c r="G21" i="7"/>
  <c r="G54" i="5"/>
  <c r="G57" i="5"/>
  <c r="G79" i="5"/>
  <c r="G64" i="5"/>
  <c r="G65" i="5" s="1"/>
  <c r="H74" i="5"/>
  <c r="G60" i="5"/>
  <c r="G66" i="5"/>
  <c r="G50" i="1"/>
  <c r="G58" i="5"/>
  <c r="H154" i="10"/>
  <c r="I189" i="10"/>
  <c r="G147" i="1" s="1"/>
  <c r="B154" i="10"/>
  <c r="G62" i="4"/>
  <c r="F51" i="7"/>
  <c r="F25" i="1"/>
  <c r="G74" i="5"/>
  <c r="L12" i="7"/>
  <c r="L57" i="4"/>
  <c r="L22" i="1"/>
  <c r="B141" i="4"/>
  <c r="B102" i="1"/>
  <c r="B104" i="1" s="1"/>
  <c r="B71" i="6"/>
  <c r="B68" i="1"/>
  <c r="I50" i="7"/>
  <c r="J62" i="7"/>
  <c r="J67" i="7"/>
  <c r="I63" i="7"/>
  <c r="H65" i="7"/>
  <c r="H66" i="7"/>
  <c r="I99" i="6"/>
  <c r="J90" i="6"/>
  <c r="I67" i="6"/>
  <c r="J91" i="6"/>
  <c r="N34" i="5"/>
  <c r="N129" i="4"/>
  <c r="N27" i="5"/>
  <c r="D80" i="2"/>
  <c r="D113" i="2"/>
  <c r="D46" i="2"/>
  <c r="D60" i="2"/>
  <c r="D67" i="2"/>
  <c r="E30" i="2"/>
  <c r="E51" i="7"/>
  <c r="E25" i="1"/>
  <c r="I65" i="7"/>
  <c r="I66" i="7"/>
  <c r="C15" i="7"/>
  <c r="C63" i="4"/>
  <c r="C31" i="1"/>
  <c r="I73" i="6"/>
  <c r="I76" i="1"/>
  <c r="F15" i="7"/>
  <c r="F63" i="4"/>
  <c r="F31" i="1"/>
  <c r="E56" i="6"/>
  <c r="E58" i="6" s="1"/>
  <c r="J113" i="10"/>
  <c r="J40" i="7"/>
  <c r="K98" i="4"/>
  <c r="J100" i="4"/>
  <c r="I113" i="10"/>
  <c r="I40" i="7"/>
  <c r="I100" i="4"/>
  <c r="J98" i="4"/>
  <c r="F23" i="7"/>
  <c r="F53" i="1"/>
  <c r="L29" i="7"/>
  <c r="L116" i="1"/>
  <c r="L58" i="1"/>
  <c r="D66" i="7"/>
  <c r="C52" i="7"/>
  <c r="C37" i="1"/>
  <c r="K52" i="7"/>
  <c r="K37" i="1"/>
  <c r="J73" i="6"/>
  <c r="J76" i="1"/>
  <c r="F31" i="7"/>
  <c r="F52" i="6"/>
  <c r="F64" i="6"/>
  <c r="F65" i="6" s="1"/>
  <c r="F77" i="1" s="1"/>
  <c r="F62" i="1"/>
  <c r="F54" i="7"/>
  <c r="F52" i="1"/>
  <c r="F75" i="5"/>
  <c r="E42" i="7"/>
  <c r="E51" i="1"/>
  <c r="J8" i="5"/>
  <c r="J16" i="5" s="1"/>
  <c r="J76" i="4"/>
  <c r="J85" i="4" s="1"/>
  <c r="J86" i="4" s="1"/>
  <c r="J23" i="1"/>
  <c r="F65" i="7"/>
  <c r="F66" i="7"/>
  <c r="B166" i="10"/>
  <c r="B168" i="10" s="1"/>
  <c r="B39" i="10"/>
  <c r="B44" i="10"/>
  <c r="B50" i="10" s="1"/>
  <c r="B20" i="10"/>
  <c r="B165" i="10"/>
  <c r="B175" i="10" s="1"/>
  <c r="I74" i="5"/>
  <c r="H66" i="5"/>
  <c r="H21" i="7"/>
  <c r="H57" i="5"/>
  <c r="H79" i="5"/>
  <c r="H64" i="5"/>
  <c r="H65" i="5" s="1"/>
  <c r="H58" i="5"/>
  <c r="H60" i="5"/>
  <c r="H50" i="1"/>
  <c r="H54" i="5"/>
  <c r="H139" i="10"/>
  <c r="G139" i="10"/>
  <c r="E139" i="10"/>
  <c r="D139" i="10"/>
  <c r="C139" i="10"/>
  <c r="K139" i="10"/>
  <c r="J139" i="10"/>
  <c r="I139" i="10"/>
  <c r="B40" i="7"/>
  <c r="F139" i="10"/>
  <c r="B113" i="10"/>
  <c r="B100" i="4"/>
  <c r="C98" i="4"/>
  <c r="H73" i="6"/>
  <c r="H76" i="1"/>
  <c r="G65" i="6"/>
  <c r="G77" i="1" s="1"/>
  <c r="B23" i="2"/>
  <c r="C102" i="2"/>
  <c r="J118" i="10"/>
  <c r="J55" i="7"/>
  <c r="J64" i="1"/>
  <c r="B150" i="10"/>
  <c r="I186" i="10"/>
  <c r="G144" i="1" s="1"/>
  <c r="H150" i="10"/>
  <c r="C170" i="10"/>
  <c r="C54" i="7"/>
  <c r="C52" i="1"/>
  <c r="B73" i="6"/>
  <c r="B76" i="1"/>
  <c r="O62" i="6"/>
  <c r="N74" i="1"/>
  <c r="E73" i="6"/>
  <c r="E76" i="1"/>
  <c r="E40" i="7"/>
  <c r="E113" i="10"/>
  <c r="E100" i="4"/>
  <c r="F98" i="4"/>
  <c r="H76" i="4"/>
  <c r="H85" i="4" s="1"/>
  <c r="H86" i="4" s="1"/>
  <c r="H8" i="5"/>
  <c r="H16" i="5" s="1"/>
  <c r="H23" i="1"/>
  <c r="G75" i="5"/>
  <c r="F42" i="7"/>
  <c r="F51" i="1"/>
  <c r="K73" i="6"/>
  <c r="K76" i="1"/>
  <c r="K21" i="7"/>
  <c r="K79" i="5"/>
  <c r="K60" i="5"/>
  <c r="K57" i="5"/>
  <c r="K54" i="5"/>
  <c r="K58" i="5"/>
  <c r="K66" i="5"/>
  <c r="K50" i="1"/>
  <c r="K64" i="5"/>
  <c r="K65" i="5" s="1"/>
  <c r="C71" i="6"/>
  <c r="C102" i="1"/>
  <c r="C104" i="1" s="1"/>
  <c r="C141" i="4"/>
  <c r="C68" i="1"/>
  <c r="G73" i="6"/>
  <c r="G76" i="1"/>
  <c r="G118" i="10"/>
  <c r="G55" i="7"/>
  <c r="G64" i="1"/>
  <c r="D128" i="1"/>
  <c r="D106" i="1"/>
  <c r="G113" i="10"/>
  <c r="G40" i="7"/>
  <c r="H98" i="4"/>
  <c r="G100" i="4"/>
  <c r="C42" i="7"/>
  <c r="D75" i="5"/>
  <c r="C51" i="1"/>
  <c r="C23" i="7"/>
  <c r="C53" i="1"/>
  <c r="K63" i="7"/>
  <c r="K50" i="7"/>
  <c r="K79" i="7"/>
  <c r="B80" i="7" s="1"/>
  <c r="K51" i="7"/>
  <c r="D117" i="2"/>
  <c r="C117" i="2"/>
  <c r="K25" i="1"/>
  <c r="F117" i="2"/>
  <c r="E117" i="2"/>
  <c r="B117" i="2"/>
  <c r="G67" i="6"/>
  <c r="G99" i="6"/>
  <c r="H91" i="6"/>
  <c r="H55" i="7"/>
  <c r="H118" i="10"/>
  <c r="H64" i="1"/>
  <c r="C50" i="2"/>
  <c r="C48" i="2"/>
  <c r="M124" i="7" s="1"/>
  <c r="C49" i="2"/>
  <c r="H113" i="10"/>
  <c r="H40" i="7"/>
  <c r="I98" i="4"/>
  <c r="H100" i="4"/>
  <c r="C66" i="7"/>
  <c r="C65" i="7"/>
  <c r="C31" i="7"/>
  <c r="C52" i="6"/>
  <c r="C56" i="6" s="1"/>
  <c r="C58" i="6" s="1"/>
  <c r="C62" i="1"/>
  <c r="D34" i="10"/>
  <c r="D35" i="10" s="1"/>
  <c r="D43" i="10"/>
  <c r="E33" i="10"/>
  <c r="K53" i="7"/>
  <c r="K14" i="7"/>
  <c r="K94" i="4"/>
  <c r="D52" i="7"/>
  <c r="D37" i="1"/>
  <c r="H62" i="4"/>
  <c r="B63" i="2"/>
  <c r="C58" i="2"/>
  <c r="C61" i="2"/>
  <c r="L41" i="3"/>
  <c r="L71" i="4"/>
  <c r="J79" i="5"/>
  <c r="K74" i="5"/>
  <c r="J64" i="5"/>
  <c r="J65" i="5" s="1"/>
  <c r="J21" i="7"/>
  <c r="J58" i="5"/>
  <c r="J60" i="5"/>
  <c r="J66" i="5"/>
  <c r="J54" i="5"/>
  <c r="J57" i="5"/>
  <c r="J50" i="1"/>
  <c r="B52" i="7"/>
  <c r="B37" i="1"/>
  <c r="B15" i="7"/>
  <c r="B63" i="4"/>
  <c r="B31" i="1"/>
  <c r="I52" i="7"/>
  <c r="I37" i="1"/>
  <c r="K15" i="7"/>
  <c r="K63" i="4"/>
  <c r="K31" i="1"/>
  <c r="D118" i="10"/>
  <c r="D55" i="7"/>
  <c r="D64" i="1"/>
  <c r="J62" i="4"/>
  <c r="K171" i="1"/>
  <c r="D15" i="7"/>
  <c r="D63" i="4"/>
  <c r="D31" i="1"/>
  <c r="D50" i="7"/>
  <c r="E67" i="7"/>
  <c r="E62" i="7"/>
  <c r="D63" i="7"/>
  <c r="D65" i="7" s="1"/>
  <c r="D21" i="7"/>
  <c r="D57" i="5"/>
  <c r="D60" i="5"/>
  <c r="D58" i="5"/>
  <c r="D54" i="5"/>
  <c r="D79" i="5"/>
  <c r="D64" i="5"/>
  <c r="D65" i="5" s="1"/>
  <c r="D66" i="5"/>
  <c r="E74" i="5"/>
  <c r="D50" i="1"/>
  <c r="B42" i="4"/>
  <c r="B41" i="6"/>
  <c r="B78" i="5"/>
  <c r="B21" i="1"/>
  <c r="B81" i="6"/>
  <c r="B80" i="6"/>
  <c r="B84" i="6"/>
  <c r="B78" i="6"/>
  <c r="C78" i="6" s="1"/>
  <c r="D78" i="6" s="1"/>
  <c r="B83" i="6"/>
  <c r="B79" i="6"/>
  <c r="B85" i="6"/>
  <c r="B82" i="6"/>
  <c r="K49" i="6"/>
  <c r="K51" i="6" s="1"/>
  <c r="K56" i="6" s="1"/>
  <c r="K58" i="6" s="1"/>
  <c r="K62" i="7"/>
  <c r="J50" i="7"/>
  <c r="J63" i="7"/>
  <c r="F73" i="6"/>
  <c r="F76" i="1"/>
  <c r="G52" i="7"/>
  <c r="G37" i="1"/>
  <c r="F52" i="7"/>
  <c r="F37" i="1"/>
  <c r="F113" i="10"/>
  <c r="F40" i="7"/>
  <c r="G98" i="4"/>
  <c r="F100" i="4"/>
  <c r="D170" i="10"/>
  <c r="D73" i="6"/>
  <c r="D76" i="1"/>
  <c r="I193" i="10"/>
  <c r="G151" i="1" s="1"/>
  <c r="H157" i="10"/>
  <c r="B157" i="10"/>
  <c r="K118" i="10"/>
  <c r="K55" i="7"/>
  <c r="K64" i="1"/>
  <c r="D216" i="1" s="1"/>
  <c r="C71" i="5"/>
  <c r="D69" i="5"/>
  <c r="F56" i="6"/>
  <c r="F58" i="6" s="1"/>
  <c r="E62" i="4"/>
  <c r="B42" i="7"/>
  <c r="C75" i="5"/>
  <c r="B51" i="1"/>
  <c r="G51" i="7"/>
  <c r="G25" i="1"/>
  <c r="E54" i="7"/>
  <c r="E52" i="1"/>
  <c r="G68" i="7"/>
  <c r="H31" i="7"/>
  <c r="H52" i="6"/>
  <c r="H56" i="6" s="1"/>
  <c r="H58" i="6" s="1"/>
  <c r="H62" i="1"/>
  <c r="D31" i="7"/>
  <c r="D64" i="6"/>
  <c r="D65" i="6" s="1"/>
  <c r="D77" i="1" s="1"/>
  <c r="D52" i="6"/>
  <c r="D56" i="6" s="1"/>
  <c r="D58" i="6" s="1"/>
  <c r="D62" i="1"/>
  <c r="K67" i="7"/>
  <c r="B54" i="7"/>
  <c r="B52" i="1"/>
  <c r="J71" i="6"/>
  <c r="J141" i="4"/>
  <c r="J68" i="1"/>
  <c r="J102" i="1"/>
  <c r="J104" i="1" s="1"/>
  <c r="I51" i="7"/>
  <c r="I25" i="1"/>
  <c r="I55" i="7"/>
  <c r="I118" i="10"/>
  <c r="I64" i="1"/>
  <c r="K52" i="6"/>
  <c r="K31" i="7"/>
  <c r="K62" i="1"/>
  <c r="C73" i="6"/>
  <c r="C76" i="1"/>
  <c r="E41" i="6"/>
  <c r="E78" i="5"/>
  <c r="E42" i="4"/>
  <c r="E21" i="1"/>
  <c r="C8" i="5"/>
  <c r="C16" i="5" s="1"/>
  <c r="C76" i="4"/>
  <c r="C85" i="4" s="1"/>
  <c r="C86" i="4" s="1"/>
  <c r="C23" i="1"/>
  <c r="E98" i="4"/>
  <c r="I79" i="5"/>
  <c r="I21" i="7"/>
  <c r="I64" i="5"/>
  <c r="I65" i="5" s="1"/>
  <c r="I58" i="5"/>
  <c r="I66" i="5"/>
  <c r="I60" i="5"/>
  <c r="I54" i="5"/>
  <c r="J74" i="5"/>
  <c r="I57" i="5"/>
  <c r="I50" i="1"/>
  <c r="E52" i="7"/>
  <c r="E37" i="1"/>
  <c r="C39" i="9"/>
  <c r="D33" i="9"/>
  <c r="B31" i="7"/>
  <c r="B52" i="6"/>
  <c r="B56" i="6" s="1"/>
  <c r="B58" i="6" s="1"/>
  <c r="B62" i="1"/>
  <c r="H65" i="6"/>
  <c r="H77" i="1" s="1"/>
  <c r="B23" i="7"/>
  <c r="B53" i="1"/>
  <c r="E75" i="7"/>
  <c r="E76" i="7" s="1"/>
  <c r="J99" i="6"/>
  <c r="K90" i="6"/>
  <c r="K92" i="6" s="1"/>
  <c r="J67" i="6"/>
  <c r="K91" i="6"/>
  <c r="C118" i="10"/>
  <c r="C55" i="7"/>
  <c r="C64" i="1"/>
  <c r="F8" i="5"/>
  <c r="F16" i="5" s="1"/>
  <c r="F76" i="4"/>
  <c r="F85" i="4" s="1"/>
  <c r="F86" i="4" s="1"/>
  <c r="F23" i="1"/>
  <c r="E23" i="7"/>
  <c r="E53" i="1"/>
  <c r="D72" i="6"/>
  <c r="D142" i="4"/>
  <c r="D74" i="6" s="1"/>
  <c r="D78" i="1"/>
  <c r="D68" i="7" l="1"/>
  <c r="C99" i="6"/>
  <c r="D90" i="6"/>
  <c r="D92" i="6" s="1"/>
  <c r="D91" i="6"/>
  <c r="C67" i="6"/>
  <c r="B99" i="6"/>
  <c r="C90" i="6"/>
  <c r="C92" i="6" s="1"/>
  <c r="C91" i="6"/>
  <c r="B67" i="6"/>
  <c r="C163" i="10"/>
  <c r="B171" i="10"/>
  <c r="B176" i="10" s="1"/>
  <c r="B179" i="10" s="1"/>
  <c r="B172" i="10"/>
  <c r="H67" i="6"/>
  <c r="H99" i="6"/>
  <c r="I91" i="6"/>
  <c r="I90" i="6"/>
  <c r="H90" i="6"/>
  <c r="H92" i="6" s="1"/>
  <c r="K75" i="5"/>
  <c r="J42" i="7"/>
  <c r="J51" i="1"/>
  <c r="B72" i="6"/>
  <c r="B142" i="4"/>
  <c r="B74" i="6" s="1"/>
  <c r="B78" i="1"/>
  <c r="E142" i="4"/>
  <c r="E74" i="6" s="1"/>
  <c r="E72" i="6"/>
  <c r="E78" i="1"/>
  <c r="I23" i="7"/>
  <c r="I53" i="1"/>
  <c r="F75" i="7"/>
  <c r="G106" i="1"/>
  <c r="G128" i="1"/>
  <c r="D23" i="7"/>
  <c r="D53" i="1"/>
  <c r="C84" i="6"/>
  <c r="D84" i="6" s="1"/>
  <c r="C142" i="4"/>
  <c r="C74" i="6" s="1"/>
  <c r="C72" i="6"/>
  <c r="C78" i="1"/>
  <c r="C80" i="6"/>
  <c r="D80" i="6" s="1"/>
  <c r="D54" i="7"/>
  <c r="D52" i="1"/>
  <c r="K113" i="10"/>
  <c r="K40" i="7"/>
  <c r="K100" i="4"/>
  <c r="C128" i="1"/>
  <c r="C106" i="1"/>
  <c r="P62" i="6"/>
  <c r="O74" i="1"/>
  <c r="E91" i="6"/>
  <c r="D67" i="6"/>
  <c r="D99" i="6"/>
  <c r="E90" i="6"/>
  <c r="E92" i="6" s="1"/>
  <c r="C81" i="6"/>
  <c r="D81" i="6" s="1"/>
  <c r="K41" i="7"/>
  <c r="K68" i="4"/>
  <c r="K38" i="1" s="1"/>
  <c r="K35" i="1"/>
  <c r="K135" i="1" s="1"/>
  <c r="K136" i="1" s="1"/>
  <c r="J23" i="7"/>
  <c r="J53" i="1"/>
  <c r="C103" i="2"/>
  <c r="C104" i="2" s="1"/>
  <c r="I68" i="7"/>
  <c r="J92" i="6"/>
  <c r="G72" i="6"/>
  <c r="G142" i="4"/>
  <c r="G74" i="6" s="1"/>
  <c r="G78" i="1"/>
  <c r="L29" i="3"/>
  <c r="L127" i="4"/>
  <c r="L128" i="4" s="1"/>
  <c r="L130" i="4" s="1"/>
  <c r="L135" i="4" s="1"/>
  <c r="K139" i="4"/>
  <c r="K140" i="4" s="1"/>
  <c r="L28" i="3"/>
  <c r="L51" i="3" s="1"/>
  <c r="L30" i="3"/>
  <c r="B110" i="2"/>
  <c r="B111" i="2" s="1"/>
  <c r="B114" i="2" s="1"/>
  <c r="B118" i="2" s="1"/>
  <c r="F91" i="6"/>
  <c r="E67" i="6"/>
  <c r="E99" i="6"/>
  <c r="F90" i="6"/>
  <c r="I106" i="1"/>
  <c r="I128" i="1"/>
  <c r="E65" i="7"/>
  <c r="E66" i="7"/>
  <c r="G54" i="7"/>
  <c r="G52" i="1"/>
  <c r="I72" i="6"/>
  <c r="I142" i="4"/>
  <c r="I74" i="6" s="1"/>
  <c r="I78" i="1"/>
  <c r="E33" i="9"/>
  <c r="D39" i="9"/>
  <c r="B118" i="10"/>
  <c r="B55" i="7"/>
  <c r="B64" i="1"/>
  <c r="F33" i="10"/>
  <c r="E62" i="10"/>
  <c r="E34" i="10"/>
  <c r="E35" i="10"/>
  <c r="E43" i="10"/>
  <c r="M20" i="6"/>
  <c r="D41" i="2"/>
  <c r="C55" i="10"/>
  <c r="C58" i="10" s="1"/>
  <c r="B55" i="10"/>
  <c r="B58" i="10" s="1"/>
  <c r="D55" i="10"/>
  <c r="D58" i="10" s="1"/>
  <c r="F41" i="7"/>
  <c r="F68" i="4"/>
  <c r="F38" i="1" s="1"/>
  <c r="F35" i="1"/>
  <c r="F135" i="1" s="1"/>
  <c r="F136" i="1" s="1"/>
  <c r="O27" i="5"/>
  <c r="E113" i="2"/>
  <c r="E67" i="2"/>
  <c r="O34" i="5"/>
  <c r="E60" i="2"/>
  <c r="E46" i="2"/>
  <c r="F30" i="2"/>
  <c r="O129" i="4"/>
  <c r="E80" i="2"/>
  <c r="H68" i="7"/>
  <c r="G42" i="7"/>
  <c r="H75" i="5"/>
  <c r="G51" i="1"/>
  <c r="E15" i="7"/>
  <c r="E63" i="4"/>
  <c r="E31" i="1"/>
  <c r="B8" i="5"/>
  <c r="B16" i="5" s="1"/>
  <c r="B23" i="1"/>
  <c r="B76" i="4"/>
  <c r="B85" i="4" s="1"/>
  <c r="B86" i="4" s="1"/>
  <c r="K23" i="7"/>
  <c r="K53" i="1"/>
  <c r="D214" i="1" s="1"/>
  <c r="H42" i="7"/>
  <c r="I75" i="5"/>
  <c r="H51" i="1"/>
  <c r="B53" i="10"/>
  <c r="H106" i="1"/>
  <c r="H128" i="1"/>
  <c r="L90" i="4"/>
  <c r="L41" i="1"/>
  <c r="K42" i="7"/>
  <c r="K51" i="1"/>
  <c r="B41" i="10"/>
  <c r="B74" i="10"/>
  <c r="G15" i="7"/>
  <c r="G63" i="4"/>
  <c r="G31" i="1"/>
  <c r="D71" i="5"/>
  <c r="E69" i="5"/>
  <c r="K99" i="6"/>
  <c r="B91" i="7"/>
  <c r="L93" i="7" s="1"/>
  <c r="K67" i="6"/>
  <c r="B10" i="1" s="1"/>
  <c r="D217" i="1" s="1"/>
  <c r="B189" i="1"/>
  <c r="B9" i="1"/>
  <c r="L43" i="3"/>
  <c r="K54" i="7"/>
  <c r="K52" i="1"/>
  <c r="J65" i="7"/>
  <c r="J66" i="7"/>
  <c r="H72" i="6"/>
  <c r="H142" i="4"/>
  <c r="H74" i="6" s="1"/>
  <c r="H78" i="1"/>
  <c r="I54" i="7"/>
  <c r="I52" i="1"/>
  <c r="E8" i="5"/>
  <c r="E16" i="5" s="1"/>
  <c r="E76" i="4"/>
  <c r="E85" i="4" s="1"/>
  <c r="E86" i="4" s="1"/>
  <c r="E23" i="1"/>
  <c r="C82" i="6"/>
  <c r="D82" i="6" s="1"/>
  <c r="D61" i="2"/>
  <c r="M41" i="3"/>
  <c r="M71" i="4"/>
  <c r="C63" i="2"/>
  <c r="D58" i="2"/>
  <c r="H23" i="7"/>
  <c r="H53" i="1"/>
  <c r="F67" i="6"/>
  <c r="G91" i="6"/>
  <c r="F99" i="6"/>
  <c r="G90" i="6"/>
  <c r="G92" i="6" s="1"/>
  <c r="K65" i="7"/>
  <c r="K66" i="7"/>
  <c r="B41" i="7"/>
  <c r="C99" i="4"/>
  <c r="B68" i="4"/>
  <c r="B38" i="1" s="1"/>
  <c r="B35" i="1"/>
  <c r="B135" i="1" s="1"/>
  <c r="B136" i="1" s="1"/>
  <c r="D71" i="1"/>
  <c r="D73" i="1" s="1"/>
  <c r="D75" i="1" s="1"/>
  <c r="D130" i="1"/>
  <c r="J106" i="1"/>
  <c r="J128" i="1"/>
  <c r="E99" i="4"/>
  <c r="D68" i="4"/>
  <c r="D38" i="1" s="1"/>
  <c r="D41" i="7"/>
  <c r="D35" i="1"/>
  <c r="D135" i="1" s="1"/>
  <c r="D136" i="1" s="1"/>
  <c r="J72" i="6"/>
  <c r="J142" i="4"/>
  <c r="J74" i="6" s="1"/>
  <c r="J78" i="1"/>
  <c r="C85" i="6"/>
  <c r="D85" i="6" s="1"/>
  <c r="F68" i="7"/>
  <c r="F128" i="1"/>
  <c r="F106" i="1"/>
  <c r="I42" i="7"/>
  <c r="J75" i="5"/>
  <c r="I51" i="1"/>
  <c r="E118" i="10"/>
  <c r="E55" i="7"/>
  <c r="E64" i="1"/>
  <c r="C41" i="7"/>
  <c r="C68" i="4"/>
  <c r="C38" i="1" s="1"/>
  <c r="D99" i="4"/>
  <c r="C35" i="1"/>
  <c r="C135" i="1" s="1"/>
  <c r="C136" i="1" s="1"/>
  <c r="G23" i="7"/>
  <c r="G53" i="1"/>
  <c r="E128" i="1"/>
  <c r="E106" i="1"/>
  <c r="C79" i="6"/>
  <c r="D79" i="6" s="1"/>
  <c r="J15" i="7"/>
  <c r="J63" i="4"/>
  <c r="J31" i="1"/>
  <c r="B79" i="2"/>
  <c r="L24" i="5"/>
  <c r="C83" i="6"/>
  <c r="D83" i="6" s="1"/>
  <c r="D42" i="7"/>
  <c r="E75" i="5"/>
  <c r="D51" i="1"/>
  <c r="J54" i="7"/>
  <c r="J52" i="1"/>
  <c r="H15" i="7"/>
  <c r="H63" i="4"/>
  <c r="H31" i="1"/>
  <c r="C70" i="7"/>
  <c r="C71" i="7" s="1"/>
  <c r="C68" i="7"/>
  <c r="H54" i="7"/>
  <c r="H52" i="1"/>
  <c r="B106" i="1"/>
  <c r="B128" i="1"/>
  <c r="F72" i="6"/>
  <c r="F142" i="4"/>
  <c r="F74" i="6" s="1"/>
  <c r="F78" i="1"/>
  <c r="D102" i="2" l="1"/>
  <c r="C23" i="2"/>
  <c r="M43" i="3"/>
  <c r="G68" i="4"/>
  <c r="G38" i="1" s="1"/>
  <c r="G41" i="7"/>
  <c r="H99" i="4"/>
  <c r="G35" i="1"/>
  <c r="G135" i="1" s="1"/>
  <c r="G136" i="1" s="1"/>
  <c r="L31" i="3"/>
  <c r="M28" i="3"/>
  <c r="N71" i="4"/>
  <c r="E61" i="2"/>
  <c r="E58" i="2"/>
  <c r="N41" i="3"/>
  <c r="D63" i="2"/>
  <c r="K71" i="6"/>
  <c r="K141" i="4"/>
  <c r="K102" i="1"/>
  <c r="K104" i="1" s="1"/>
  <c r="K68" i="1"/>
  <c r="K65" i="6"/>
  <c r="E51" i="10"/>
  <c r="D64" i="10"/>
  <c r="C71" i="1"/>
  <c r="C73" i="1" s="1"/>
  <c r="C75" i="1" s="1"/>
  <c r="C130" i="1"/>
  <c r="B71" i="1"/>
  <c r="B73" i="1" s="1"/>
  <c r="B75" i="1" s="1"/>
  <c r="B130" i="1"/>
  <c r="B107" i="10"/>
  <c r="B109" i="10" s="1"/>
  <c r="L20" i="7"/>
  <c r="L50" i="5"/>
  <c r="L49" i="1"/>
  <c r="L30" i="5"/>
  <c r="L72" i="4"/>
  <c r="L43" i="1" s="1"/>
  <c r="B75" i="10"/>
  <c r="E170" i="10"/>
  <c r="M29" i="3"/>
  <c r="L53" i="3"/>
  <c r="B119" i="2"/>
  <c r="L16" i="4" s="1"/>
  <c r="L8" i="4"/>
  <c r="G130" i="1"/>
  <c r="G71" i="1"/>
  <c r="G73" i="1" s="1"/>
  <c r="G75" i="1" s="1"/>
  <c r="K68" i="7"/>
  <c r="B220" i="1"/>
  <c r="B223" i="1"/>
  <c r="D220" i="1"/>
  <c r="D223" i="1"/>
  <c r="C51" i="10"/>
  <c r="B64" i="10"/>
  <c r="E68" i="7"/>
  <c r="P129" i="4"/>
  <c r="F60" i="2"/>
  <c r="P27" i="5"/>
  <c r="F46" i="2"/>
  <c r="P34" i="5"/>
  <c r="F67" i="2"/>
  <c r="F113" i="2"/>
  <c r="F80" i="2"/>
  <c r="F43" i="10"/>
  <c r="G33" i="10"/>
  <c r="F34" i="10"/>
  <c r="F35" i="10" s="1"/>
  <c r="F62" i="10"/>
  <c r="B191" i="1"/>
  <c r="C64" i="10"/>
  <c r="D51" i="10"/>
  <c r="I71" i="1"/>
  <c r="I73" i="1" s="1"/>
  <c r="I75" i="1" s="1"/>
  <c r="I130" i="1"/>
  <c r="F76" i="7"/>
  <c r="G75" i="7"/>
  <c r="I92" i="6"/>
  <c r="J41" i="7"/>
  <c r="K99" i="4"/>
  <c r="J68" i="4"/>
  <c r="J38" i="1" s="1"/>
  <c r="J35" i="1"/>
  <c r="J135" i="1" s="1"/>
  <c r="J136" i="1" s="1"/>
  <c r="J99" i="4"/>
  <c r="J130" i="1"/>
  <c r="J131" i="1"/>
  <c r="J71" i="1"/>
  <c r="J73" i="1" s="1"/>
  <c r="J75" i="1" s="1"/>
  <c r="F92" i="6"/>
  <c r="D70" i="7"/>
  <c r="D71" i="7" s="1"/>
  <c r="E55" i="10"/>
  <c r="E58" i="10" s="1"/>
  <c r="L97" i="7"/>
  <c r="H131" i="1"/>
  <c r="H71" i="1"/>
  <c r="H73" i="1" s="1"/>
  <c r="H75" i="1" s="1"/>
  <c r="H130" i="1"/>
  <c r="E41" i="7"/>
  <c r="E35" i="1"/>
  <c r="E135" i="1" s="1"/>
  <c r="E136" i="1" s="1"/>
  <c r="E68" i="4"/>
  <c r="E38" i="1" s="1"/>
  <c r="F99" i="4"/>
  <c r="E71" i="1"/>
  <c r="E73" i="1" s="1"/>
  <c r="E75" i="1" s="1"/>
  <c r="E130" i="1"/>
  <c r="E131" i="1"/>
  <c r="F71" i="1"/>
  <c r="F73" i="1" s="1"/>
  <c r="F75" i="1" s="1"/>
  <c r="F130" i="1"/>
  <c r="F131" i="1"/>
  <c r="D131" i="1"/>
  <c r="E39" i="9"/>
  <c r="F33" i="9"/>
  <c r="E71" i="5"/>
  <c r="F69" i="5"/>
  <c r="B56" i="10"/>
  <c r="B76" i="10" s="1"/>
  <c r="B121" i="10" s="1"/>
  <c r="C167" i="10"/>
  <c r="C164" i="10"/>
  <c r="G99" i="4"/>
  <c r="D48" i="2"/>
  <c r="N124" i="7" s="1"/>
  <c r="D49" i="2"/>
  <c r="H41" i="7"/>
  <c r="H68" i="4"/>
  <c r="H38" i="1" s="1"/>
  <c r="I99" i="4"/>
  <c r="H35" i="1"/>
  <c r="H135" i="1" s="1"/>
  <c r="H136" i="1" s="1"/>
  <c r="M24" i="5"/>
  <c r="C79" i="2"/>
  <c r="J68" i="7"/>
  <c r="L96" i="6"/>
  <c r="L8" i="6"/>
  <c r="C109" i="2"/>
  <c r="M90" i="4"/>
  <c r="M41" i="1"/>
  <c r="M29" i="7"/>
  <c r="M116" i="1"/>
  <c r="M58" i="1"/>
  <c r="M30" i="3"/>
  <c r="P74" i="1"/>
  <c r="F55" i="10" l="1"/>
  <c r="F58" i="10" s="1"/>
  <c r="F170" i="10"/>
  <c r="E70" i="7"/>
  <c r="D69" i="10"/>
  <c r="D70" i="10" s="1"/>
  <c r="D80" i="10" s="1"/>
  <c r="D117" i="10" s="1"/>
  <c r="D67" i="10"/>
  <c r="D77" i="10" s="1"/>
  <c r="N43" i="3"/>
  <c r="F39" i="9"/>
  <c r="G33" i="9"/>
  <c r="B69" i="10"/>
  <c r="B70" i="10" s="1"/>
  <c r="B80" i="10" s="1"/>
  <c r="B117" i="10" s="1"/>
  <c r="B67" i="10"/>
  <c r="B77" i="10" s="1"/>
  <c r="M53" i="3"/>
  <c r="E52" i="10"/>
  <c r="E37" i="10"/>
  <c r="B225" i="1"/>
  <c r="B217" i="1"/>
  <c r="B221" i="1"/>
  <c r="D208" i="1"/>
  <c r="K77" i="1"/>
  <c r="D207" i="1"/>
  <c r="B207" i="1"/>
  <c r="B222" i="1"/>
  <c r="O71" i="4"/>
  <c r="E63" i="2"/>
  <c r="F61" i="2"/>
  <c r="O41" i="3"/>
  <c r="F58" i="2"/>
  <c r="G34" i="10"/>
  <c r="G35" i="10" s="1"/>
  <c r="H33" i="10"/>
  <c r="G43" i="10"/>
  <c r="G62" i="10"/>
  <c r="C52" i="10"/>
  <c r="C37" i="10"/>
  <c r="N41" i="1"/>
  <c r="N90" i="4"/>
  <c r="N20" i="6"/>
  <c r="E41" i="2"/>
  <c r="B79" i="10"/>
  <c r="K128" i="1"/>
  <c r="K106" i="1"/>
  <c r="M31" i="3"/>
  <c r="D50" i="2"/>
  <c r="G76" i="7"/>
  <c r="H75" i="7"/>
  <c r="B112" i="10"/>
  <c r="B114" i="10" s="1"/>
  <c r="K72" i="6"/>
  <c r="K142" i="4"/>
  <c r="K74" i="6" s="1"/>
  <c r="K78" i="1"/>
  <c r="E64" i="10"/>
  <c r="F51" i="10"/>
  <c r="C165" i="10"/>
  <c r="C175" i="10" s="1"/>
  <c r="C166" i="10"/>
  <c r="C168" i="10" s="1"/>
  <c r="I131" i="1"/>
  <c r="G131" i="1"/>
  <c r="B131" i="1"/>
  <c r="L61" i="6"/>
  <c r="L17" i="6"/>
  <c r="L27" i="7"/>
  <c r="L105" i="1"/>
  <c r="L56" i="1"/>
  <c r="D37" i="10"/>
  <c r="D52" i="10"/>
  <c r="C69" i="10"/>
  <c r="C70" i="10" s="1"/>
  <c r="C80" i="10" s="1"/>
  <c r="C117" i="10" s="1"/>
  <c r="C67" i="10"/>
  <c r="C77" i="10" s="1"/>
  <c r="M51" i="3"/>
  <c r="G69" i="5"/>
  <c r="F71" i="5"/>
  <c r="M127" i="4"/>
  <c r="L139" i="4"/>
  <c r="C110" i="2"/>
  <c r="C111" i="2" s="1"/>
  <c r="C114" i="2" s="1"/>
  <c r="L8" i="7"/>
  <c r="L18" i="4"/>
  <c r="L45" i="4"/>
  <c r="L46" i="4"/>
  <c r="L26" i="1" s="1"/>
  <c r="L22" i="4"/>
  <c r="L47" i="4" s="1"/>
  <c r="L27" i="1" s="1"/>
  <c r="L16" i="1"/>
  <c r="M20" i="7"/>
  <c r="M50" i="5"/>
  <c r="M30" i="5"/>
  <c r="M72" i="4"/>
  <c r="M43" i="1" s="1"/>
  <c r="M49" i="1"/>
  <c r="L9" i="7"/>
  <c r="L17" i="1"/>
  <c r="C131" i="1"/>
  <c r="N24" i="5"/>
  <c r="D79" i="2"/>
  <c r="D103" i="2"/>
  <c r="D104" i="2" s="1"/>
  <c r="M96" i="6" l="1"/>
  <c r="M8" i="6"/>
  <c r="D109" i="2"/>
  <c r="C118" i="2"/>
  <c r="G55" i="10"/>
  <c r="G58" i="10" s="1"/>
  <c r="E102" i="2"/>
  <c r="D23" i="2"/>
  <c r="G170" i="10"/>
  <c r="D102" i="10"/>
  <c r="D104" i="10" s="1"/>
  <c r="D85" i="10"/>
  <c r="E84" i="10"/>
  <c r="L73" i="6"/>
  <c r="L76" i="1"/>
  <c r="E71" i="7"/>
  <c r="F70" i="7"/>
  <c r="L28" i="7"/>
  <c r="L57" i="1"/>
  <c r="K130" i="1"/>
  <c r="K71" i="1"/>
  <c r="K73" i="1" s="1"/>
  <c r="E39" i="10"/>
  <c r="E44" i="10"/>
  <c r="E50" i="10" s="1"/>
  <c r="I33" i="10"/>
  <c r="H34" i="10"/>
  <c r="H35" i="10" s="1"/>
  <c r="H43" i="10"/>
  <c r="H62" i="10"/>
  <c r="G71" i="5"/>
  <c r="H69" i="5"/>
  <c r="D163" i="10"/>
  <c r="C172" i="10"/>
  <c r="C171" i="10"/>
  <c r="C176" i="10" s="1"/>
  <c r="E49" i="2"/>
  <c r="E48" i="2"/>
  <c r="O124" i="7" s="1"/>
  <c r="O43" i="3"/>
  <c r="F64" i="10"/>
  <c r="G51" i="10"/>
  <c r="L11" i="7"/>
  <c r="L56" i="4"/>
  <c r="L20" i="1"/>
  <c r="C85" i="10"/>
  <c r="D84" i="10"/>
  <c r="C102" i="10"/>
  <c r="C104" i="10" s="1"/>
  <c r="N29" i="7"/>
  <c r="N116" i="1"/>
  <c r="N58" i="1"/>
  <c r="O24" i="5"/>
  <c r="E79" i="2"/>
  <c r="D143" i="10"/>
  <c r="D145" i="10" s="1"/>
  <c r="C143" i="10"/>
  <c r="C145" i="10" s="1"/>
  <c r="C84" i="10"/>
  <c r="B102" i="10"/>
  <c r="B104" i="10" s="1"/>
  <c r="B96" i="10"/>
  <c r="O90" i="4"/>
  <c r="O41" i="1"/>
  <c r="P71" i="4"/>
  <c r="P41" i="3"/>
  <c r="F63" i="2"/>
  <c r="L51" i="7"/>
  <c r="L25" i="1"/>
  <c r="L45" i="6"/>
  <c r="L138" i="4"/>
  <c r="L140" i="4" s="1"/>
  <c r="L60" i="4"/>
  <c r="L55" i="4"/>
  <c r="L26" i="4"/>
  <c r="L10" i="7"/>
  <c r="L44" i="1"/>
  <c r="M126" i="4"/>
  <c r="M128" i="4" s="1"/>
  <c r="M130" i="4" s="1"/>
  <c r="M135" i="4" s="1"/>
  <c r="L32" i="3"/>
  <c r="L73" i="4"/>
  <c r="L45" i="1" s="1"/>
  <c r="L42" i="1"/>
  <c r="L137" i="1" s="1"/>
  <c r="B122" i="2"/>
  <c r="L18" i="1"/>
  <c r="L69" i="1"/>
  <c r="L54" i="3"/>
  <c r="H33" i="9"/>
  <c r="G39" i="9"/>
  <c r="N20" i="7"/>
  <c r="N30" i="5"/>
  <c r="N50" i="5"/>
  <c r="N72" i="4"/>
  <c r="N43" i="1" s="1"/>
  <c r="N49" i="1"/>
  <c r="D44" i="10"/>
  <c r="D50" i="10" s="1"/>
  <c r="D39" i="10"/>
  <c r="F37" i="10"/>
  <c r="F52" i="10"/>
  <c r="C39" i="10"/>
  <c r="C44" i="10"/>
  <c r="C50" i="10" s="1"/>
  <c r="E69" i="10"/>
  <c r="E70" i="10" s="1"/>
  <c r="E80" i="10" s="1"/>
  <c r="E117" i="10" s="1"/>
  <c r="E67" i="10"/>
  <c r="E77" i="10" s="1"/>
  <c r="H76" i="7"/>
  <c r="I75" i="7"/>
  <c r="H55" i="10" l="1"/>
  <c r="H58" i="10" s="1"/>
  <c r="L71" i="6"/>
  <c r="L141" i="4"/>
  <c r="L102" i="1"/>
  <c r="L104" i="1" s="1"/>
  <c r="L68" i="1"/>
  <c r="E85" i="10"/>
  <c r="F84" i="10"/>
  <c r="E102" i="10"/>
  <c r="E104" i="10" s="1"/>
  <c r="H39" i="9"/>
  <c r="I33" i="9"/>
  <c r="D90" i="10"/>
  <c r="D164" i="10"/>
  <c r="D167" i="10"/>
  <c r="H71" i="5"/>
  <c r="I69" i="5"/>
  <c r="N127" i="4"/>
  <c r="M139" i="4"/>
  <c r="D110" i="2"/>
  <c r="D111" i="2" s="1"/>
  <c r="D114" i="2" s="1"/>
  <c r="N29" i="3"/>
  <c r="N30" i="3"/>
  <c r="N28" i="3"/>
  <c r="C74" i="10"/>
  <c r="C41" i="10"/>
  <c r="L49" i="6"/>
  <c r="L51" i="6" s="1"/>
  <c r="C56" i="10"/>
  <c r="C76" i="10" s="1"/>
  <c r="C53" i="10"/>
  <c r="E103" i="2"/>
  <c r="E104" i="2" s="1"/>
  <c r="F102" i="2" s="1"/>
  <c r="H170" i="10"/>
  <c r="G64" i="10"/>
  <c r="H51" i="10"/>
  <c r="P43" i="3"/>
  <c r="G52" i="10"/>
  <c r="G37" i="10"/>
  <c r="F71" i="7"/>
  <c r="G70" i="7"/>
  <c r="P90" i="4"/>
  <c r="P41" i="1"/>
  <c r="F69" i="10"/>
  <c r="F70" i="10" s="1"/>
  <c r="F80" i="10" s="1"/>
  <c r="F117" i="10" s="1"/>
  <c r="F67" i="10"/>
  <c r="F77" i="10" s="1"/>
  <c r="I43" i="10"/>
  <c r="I34" i="10"/>
  <c r="I35" i="10" s="1"/>
  <c r="J33" i="10"/>
  <c r="I62" i="10"/>
  <c r="F39" i="10"/>
  <c r="F44" i="10"/>
  <c r="F50" i="10" s="1"/>
  <c r="D53" i="10"/>
  <c r="D56" i="10"/>
  <c r="D76" i="10" s="1"/>
  <c r="F79" i="2"/>
  <c r="P24" i="5"/>
  <c r="O20" i="7"/>
  <c r="O30" i="5"/>
  <c r="O72" i="4"/>
  <c r="O43" i="1" s="1"/>
  <c r="O50" i="5"/>
  <c r="O49" i="1"/>
  <c r="E56" i="10"/>
  <c r="E76" i="10" s="1"/>
  <c r="E53" i="10"/>
  <c r="O20" i="6"/>
  <c r="F41" i="2"/>
  <c r="E41" i="10"/>
  <c r="E74" i="10"/>
  <c r="C119" i="2"/>
  <c r="M16" i="4" s="1"/>
  <c r="M8" i="4"/>
  <c r="D41" i="10"/>
  <c r="D74" i="10"/>
  <c r="L42" i="4"/>
  <c r="L21" i="1"/>
  <c r="C90" i="10"/>
  <c r="E50" i="2"/>
  <c r="B87" i="1"/>
  <c r="B88" i="1" s="1"/>
  <c r="K75" i="1"/>
  <c r="I76" i="7"/>
  <c r="J75" i="7"/>
  <c r="L59" i="4"/>
  <c r="L62" i="4" s="1"/>
  <c r="E143" i="10"/>
  <c r="E145" i="10" s="1"/>
  <c r="K131" i="1"/>
  <c r="M27" i="7"/>
  <c r="M17" i="6"/>
  <c r="M105" i="1"/>
  <c r="M56" i="1"/>
  <c r="I55" i="10" l="1"/>
  <c r="I58" i="10" s="1"/>
  <c r="E88" i="10"/>
  <c r="D75" i="10"/>
  <c r="D79" i="10"/>
  <c r="M9" i="7"/>
  <c r="M17" i="1"/>
  <c r="F102" i="10"/>
  <c r="F104" i="10" s="1"/>
  <c r="F85" i="10"/>
  <c r="F90" i="10" s="1"/>
  <c r="G84" i="10"/>
  <c r="F143" i="10"/>
  <c r="F145" i="10" s="1"/>
  <c r="E23" i="2"/>
  <c r="O30" i="3" s="1"/>
  <c r="P30" i="3" s="1"/>
  <c r="J69" i="5"/>
  <c r="I71" i="5"/>
  <c r="L106" i="1"/>
  <c r="M8" i="7"/>
  <c r="M22" i="4"/>
  <c r="M16" i="1"/>
  <c r="M18" i="4"/>
  <c r="M46" i="4"/>
  <c r="M26" i="1" s="1"/>
  <c r="L72" i="6"/>
  <c r="L142" i="4"/>
  <c r="L74" i="6" s="1"/>
  <c r="L78" i="1"/>
  <c r="G71" i="7"/>
  <c r="H70" i="7"/>
  <c r="C96" i="10"/>
  <c r="C86" i="10"/>
  <c r="C121" i="10"/>
  <c r="D96" i="10"/>
  <c r="D121" i="10"/>
  <c r="D86" i="10"/>
  <c r="I51" i="10"/>
  <c r="H64" i="10"/>
  <c r="P20" i="7"/>
  <c r="P50" i="5"/>
  <c r="P30" i="5"/>
  <c r="P72" i="4"/>
  <c r="P43" i="1" s="1"/>
  <c r="P49" i="1"/>
  <c r="M28" i="7"/>
  <c r="M57" i="1"/>
  <c r="E90" i="10"/>
  <c r="G44" i="10"/>
  <c r="G50" i="10" s="1"/>
  <c r="G39" i="10"/>
  <c r="D165" i="10"/>
  <c r="D175" i="10" s="1"/>
  <c r="D166" i="10"/>
  <c r="D168" i="10" s="1"/>
  <c r="E107" i="10"/>
  <c r="E109" i="10" s="1"/>
  <c r="E133" i="10"/>
  <c r="E135" i="10" s="1"/>
  <c r="F103" i="2"/>
  <c r="F104" i="2" s="1"/>
  <c r="F23" i="2" s="1"/>
  <c r="F50" i="2"/>
  <c r="F48" i="2"/>
  <c r="P124" i="7" s="1"/>
  <c r="F49" i="2"/>
  <c r="P20" i="6" s="1"/>
  <c r="F53" i="10"/>
  <c r="F56" i="10"/>
  <c r="F76" i="10" s="1"/>
  <c r="C79" i="10"/>
  <c r="C75" i="10"/>
  <c r="N96" i="6"/>
  <c r="N8" i="6"/>
  <c r="E109" i="2"/>
  <c r="D118" i="2"/>
  <c r="F41" i="10"/>
  <c r="F74" i="10"/>
  <c r="C107" i="10"/>
  <c r="C109" i="10" s="1"/>
  <c r="C133" i="10"/>
  <c r="C135" i="10" s="1"/>
  <c r="O29" i="7"/>
  <c r="O116" i="1"/>
  <c r="O58" i="1"/>
  <c r="L8" i="5"/>
  <c r="L20" i="5" s="1"/>
  <c r="L23" i="1"/>
  <c r="L76" i="4"/>
  <c r="L85" i="4" s="1"/>
  <c r="I170" i="10"/>
  <c r="N31" i="3"/>
  <c r="N51" i="3"/>
  <c r="E79" i="10"/>
  <c r="E75" i="10"/>
  <c r="L15" i="7"/>
  <c r="L31" i="1"/>
  <c r="E86" i="10"/>
  <c r="E89" i="10" s="1"/>
  <c r="E96" i="10"/>
  <c r="E121" i="10"/>
  <c r="J34" i="10"/>
  <c r="J35" i="10" s="1"/>
  <c r="J62" i="10"/>
  <c r="K33" i="10"/>
  <c r="J43" i="10"/>
  <c r="H52" i="10"/>
  <c r="H37" i="10"/>
  <c r="J33" i="9"/>
  <c r="I39" i="9"/>
  <c r="J76" i="7"/>
  <c r="K75" i="7"/>
  <c r="K76" i="7" s="1"/>
  <c r="D107" i="10"/>
  <c r="D109" i="10" s="1"/>
  <c r="D133" i="10"/>
  <c r="D135" i="10" s="1"/>
  <c r="G69" i="10"/>
  <c r="G70" i="10" s="1"/>
  <c r="G80" i="10" s="1"/>
  <c r="G117" i="10" s="1"/>
  <c r="G67" i="10"/>
  <c r="G77" i="10" s="1"/>
  <c r="N53" i="3"/>
  <c r="O28" i="3" l="1"/>
  <c r="J55" i="10"/>
  <c r="J58" i="10" s="1"/>
  <c r="O139" i="4"/>
  <c r="F110" i="2"/>
  <c r="P127" i="4"/>
  <c r="E163" i="10"/>
  <c r="D172" i="10"/>
  <c r="D171" i="10"/>
  <c r="D176" i="10" s="1"/>
  <c r="C89" i="10"/>
  <c r="C88" i="10"/>
  <c r="C92" i="10" s="1"/>
  <c r="C93" i="10" s="1"/>
  <c r="F79" i="10"/>
  <c r="F75" i="10"/>
  <c r="H39" i="10"/>
  <c r="H44" i="10"/>
  <c r="H50" i="10" s="1"/>
  <c r="F107" i="10"/>
  <c r="F109" i="10" s="1"/>
  <c r="F133" i="10"/>
  <c r="F135" i="10" s="1"/>
  <c r="H71" i="7"/>
  <c r="I70" i="7"/>
  <c r="P28" i="3"/>
  <c r="O51" i="3"/>
  <c r="N8" i="4"/>
  <c r="D119" i="2"/>
  <c r="N16" i="4" s="1"/>
  <c r="K69" i="5"/>
  <c r="J71" i="5"/>
  <c r="D112" i="10"/>
  <c r="D114" i="10" s="1"/>
  <c r="D138" i="10"/>
  <c r="D140" i="10" s="1"/>
  <c r="N139" i="4"/>
  <c r="O127" i="4"/>
  <c r="E110" i="2"/>
  <c r="E111" i="2" s="1"/>
  <c r="E114" i="2" s="1"/>
  <c r="J170" i="10"/>
  <c r="L50" i="4"/>
  <c r="L86" i="4" s="1"/>
  <c r="N27" i="7"/>
  <c r="N17" i="6"/>
  <c r="N105" i="1"/>
  <c r="N56" i="1"/>
  <c r="H69" i="10"/>
  <c r="H70" i="10" s="1"/>
  <c r="H80" i="10" s="1"/>
  <c r="H117" i="10" s="1"/>
  <c r="H67" i="10"/>
  <c r="H77" i="10" s="1"/>
  <c r="G90" i="10"/>
  <c r="I64" i="10"/>
  <c r="J51" i="10"/>
  <c r="O29" i="3"/>
  <c r="O31" i="3" s="1"/>
  <c r="K34" i="10"/>
  <c r="K43" i="10"/>
  <c r="K35" i="10"/>
  <c r="K62" i="10"/>
  <c r="M45" i="6"/>
  <c r="M49" i="6" s="1"/>
  <c r="M51" i="6" s="1"/>
  <c r="M10" i="7"/>
  <c r="N126" i="4"/>
  <c r="N128" i="4" s="1"/>
  <c r="N130" i="4" s="1"/>
  <c r="N135" i="4" s="1"/>
  <c r="M60" i="4"/>
  <c r="C122" i="2"/>
  <c r="M138" i="4"/>
  <c r="M140" i="4" s="1"/>
  <c r="M26" i="4"/>
  <c r="M55" i="4"/>
  <c r="M73" i="4"/>
  <c r="M45" i="1" s="1"/>
  <c r="M42" i="1"/>
  <c r="M137" i="1" s="1"/>
  <c r="M44" i="1"/>
  <c r="M32" i="3"/>
  <c r="M18" i="1"/>
  <c r="M69" i="1"/>
  <c r="M54" i="3"/>
  <c r="M61" i="6"/>
  <c r="G74" i="10"/>
  <c r="G41" i="10"/>
  <c r="D89" i="10"/>
  <c r="D88" i="10"/>
  <c r="D92" i="10" s="1"/>
  <c r="D93" i="10" s="1"/>
  <c r="I52" i="10"/>
  <c r="I37" i="10"/>
  <c r="F96" i="10"/>
  <c r="F121" i="10"/>
  <c r="F86" i="10"/>
  <c r="F89" i="10" s="1"/>
  <c r="G53" i="10"/>
  <c r="G56" i="10"/>
  <c r="G76" i="10" s="1"/>
  <c r="M11" i="7"/>
  <c r="M56" i="4"/>
  <c r="M20" i="1"/>
  <c r="C112" i="10"/>
  <c r="C114" i="10" s="1"/>
  <c r="C138" i="10"/>
  <c r="C140" i="10" s="1"/>
  <c r="P29" i="7"/>
  <c r="P58" i="1"/>
  <c r="P116" i="1"/>
  <c r="M45" i="4"/>
  <c r="G85" i="10"/>
  <c r="G102" i="10"/>
  <c r="G104" i="10" s="1"/>
  <c r="H84" i="10"/>
  <c r="G143" i="10"/>
  <c r="G145" i="10" s="1"/>
  <c r="L19" i="7"/>
  <c r="L49" i="5"/>
  <c r="B78" i="2"/>
  <c r="L21" i="5"/>
  <c r="L48" i="1"/>
  <c r="L78" i="5"/>
  <c r="K33" i="9"/>
  <c r="K39" i="9" s="1"/>
  <c r="J39" i="9"/>
  <c r="E112" i="10"/>
  <c r="E114" i="10" s="1"/>
  <c r="E138" i="10"/>
  <c r="E140" i="10" s="1"/>
  <c r="M47" i="4"/>
  <c r="M27" i="1" s="1"/>
  <c r="O96" i="6" l="1"/>
  <c r="O8" i="6"/>
  <c r="F109" i="2"/>
  <c r="F111" i="2" s="1"/>
  <c r="F114" i="2" s="1"/>
  <c r="E118" i="2"/>
  <c r="P51" i="3"/>
  <c r="I71" i="7"/>
  <c r="J70" i="7"/>
  <c r="E167" i="10"/>
  <c r="E164" i="10"/>
  <c r="G107" i="10"/>
  <c r="G109" i="10" s="1"/>
  <c r="G133" i="10"/>
  <c r="G135" i="10" s="1"/>
  <c r="M21" i="1"/>
  <c r="I84" i="10"/>
  <c r="H102" i="10"/>
  <c r="H104" i="10" s="1"/>
  <c r="H85" i="10"/>
  <c r="H143" i="10"/>
  <c r="H145" i="10" s="1"/>
  <c r="M73" i="6"/>
  <c r="M76" i="1"/>
  <c r="H56" i="10"/>
  <c r="H76" i="10" s="1"/>
  <c r="H53" i="10"/>
  <c r="J64" i="10"/>
  <c r="K51" i="10"/>
  <c r="P29" i="3"/>
  <c r="P53" i="3" s="1"/>
  <c r="O53" i="3"/>
  <c r="J37" i="10"/>
  <c r="J52" i="10"/>
  <c r="M71" i="6"/>
  <c r="M141" i="4"/>
  <c r="M102" i="1"/>
  <c r="M104" i="1" s="1"/>
  <c r="M68" i="1"/>
  <c r="H90" i="10"/>
  <c r="G96" i="10"/>
  <c r="G121" i="10"/>
  <c r="G86" i="10"/>
  <c r="H41" i="10"/>
  <c r="H74" i="10"/>
  <c r="I44" i="10"/>
  <c r="I50" i="10" s="1"/>
  <c r="I39" i="10"/>
  <c r="I69" i="10"/>
  <c r="I70" i="10" s="1"/>
  <c r="I80" i="10" s="1"/>
  <c r="I117" i="10" s="1"/>
  <c r="I67" i="10"/>
  <c r="I77" i="10" s="1"/>
  <c r="L80" i="5"/>
  <c r="L53" i="5"/>
  <c r="K170" i="10"/>
  <c r="K71" i="5"/>
  <c r="F112" i="10"/>
  <c r="F114" i="10" s="1"/>
  <c r="F138" i="10"/>
  <c r="F140" i="10" s="1"/>
  <c r="B83" i="2"/>
  <c r="B84" i="2" s="1"/>
  <c r="B85" i="2" s="1"/>
  <c r="B86" i="2" s="1"/>
  <c r="F88" i="10"/>
  <c r="K55" i="10"/>
  <c r="K58" i="10" s="1"/>
  <c r="K64" i="10" s="1"/>
  <c r="K69" i="10" s="1"/>
  <c r="K70" i="10" s="1"/>
  <c r="K80" i="10" s="1"/>
  <c r="N28" i="7"/>
  <c r="N57" i="1"/>
  <c r="N9" i="7"/>
  <c r="N17" i="1"/>
  <c r="M51" i="7"/>
  <c r="M25" i="1"/>
  <c r="N8" i="7"/>
  <c r="N18" i="4"/>
  <c r="N45" i="4" s="1"/>
  <c r="N22" i="4"/>
  <c r="N47" i="4" s="1"/>
  <c r="N27" i="1" s="1"/>
  <c r="N16" i="1"/>
  <c r="N46" i="4"/>
  <c r="N26" i="1" s="1"/>
  <c r="E92" i="10"/>
  <c r="E93" i="10" s="1"/>
  <c r="G75" i="10"/>
  <c r="G79" i="10"/>
  <c r="L13" i="7"/>
  <c r="L89" i="4"/>
  <c r="L93" i="4" s="1"/>
  <c r="L30" i="1"/>
  <c r="L133" i="1" s="1"/>
  <c r="P31" i="3" l="1"/>
  <c r="G193" i="10"/>
  <c r="F151" i="1" s="1"/>
  <c r="H156" i="10"/>
  <c r="B156" i="10"/>
  <c r="K117" i="10"/>
  <c r="L21" i="6"/>
  <c r="B128" i="2"/>
  <c r="B129" i="2" s="1"/>
  <c r="B130" i="2" s="1"/>
  <c r="N51" i="7"/>
  <c r="N25" i="1"/>
  <c r="K67" i="10"/>
  <c r="K77" i="10" s="1"/>
  <c r="H86" i="10"/>
  <c r="H121" i="10"/>
  <c r="H96" i="10"/>
  <c r="L21" i="7"/>
  <c r="L60" i="5"/>
  <c r="L58" i="5"/>
  <c r="L57" i="5"/>
  <c r="L50" i="1"/>
  <c r="B198" i="1"/>
  <c r="B200" i="1" s="1"/>
  <c r="L74" i="5"/>
  <c r="E165" i="10"/>
  <c r="E175" i="10" s="1"/>
  <c r="E166" i="10"/>
  <c r="E168" i="10" s="1"/>
  <c r="M106" i="1"/>
  <c r="J71" i="7"/>
  <c r="K70" i="7"/>
  <c r="K71" i="7" s="1"/>
  <c r="L14" i="7"/>
  <c r="N11" i="7"/>
  <c r="N56" i="4"/>
  <c r="N20" i="1"/>
  <c r="N10" i="7"/>
  <c r="N45" i="6"/>
  <c r="N49" i="6" s="1"/>
  <c r="N51" i="6" s="1"/>
  <c r="N138" i="4"/>
  <c r="N140" i="4" s="1"/>
  <c r="N60" i="4"/>
  <c r="N55" i="4"/>
  <c r="N26" i="4"/>
  <c r="D122" i="2"/>
  <c r="N42" i="1"/>
  <c r="N137" i="1" s="1"/>
  <c r="O126" i="4"/>
  <c r="O128" i="4" s="1"/>
  <c r="O130" i="4" s="1"/>
  <c r="O135" i="4" s="1"/>
  <c r="N44" i="1"/>
  <c r="N32" i="3"/>
  <c r="N18" i="1"/>
  <c r="N73" i="4"/>
  <c r="N45" i="1" s="1"/>
  <c r="N69" i="1"/>
  <c r="N54" i="3"/>
  <c r="N61" i="6"/>
  <c r="M72" i="6"/>
  <c r="M142" i="4"/>
  <c r="M74" i="6" s="1"/>
  <c r="M78" i="1"/>
  <c r="I74" i="10"/>
  <c r="I41" i="10"/>
  <c r="I102" i="10"/>
  <c r="I104" i="10" s="1"/>
  <c r="I85" i="10"/>
  <c r="J84" i="10"/>
  <c r="I143" i="10"/>
  <c r="I145" i="10" s="1"/>
  <c r="L79" i="5"/>
  <c r="F92" i="10"/>
  <c r="F93" i="10" s="1"/>
  <c r="I53" i="10"/>
  <c r="I56" i="10"/>
  <c r="I76" i="10" s="1"/>
  <c r="H107" i="10"/>
  <c r="H109" i="10" s="1"/>
  <c r="H133" i="10"/>
  <c r="H135" i="10" s="1"/>
  <c r="J44" i="10"/>
  <c r="J50" i="10" s="1"/>
  <c r="J39" i="10"/>
  <c r="I90" i="10"/>
  <c r="L39" i="5"/>
  <c r="L44" i="5" s="1"/>
  <c r="B72" i="2"/>
  <c r="H79" i="10"/>
  <c r="H75" i="10"/>
  <c r="E119" i="2"/>
  <c r="O16" i="4" s="1"/>
  <c r="O8" i="4"/>
  <c r="G112" i="10"/>
  <c r="G114" i="10" s="1"/>
  <c r="G138" i="10"/>
  <c r="G140" i="10" s="1"/>
  <c r="P8" i="6"/>
  <c r="P96" i="6"/>
  <c r="F118" i="2"/>
  <c r="G89" i="10"/>
  <c r="G88" i="10"/>
  <c r="K52" i="10"/>
  <c r="K37" i="10"/>
  <c r="O27" i="7"/>
  <c r="O17" i="6"/>
  <c r="O56" i="1"/>
  <c r="O105" i="1"/>
  <c r="L69" i="5"/>
  <c r="J69" i="10"/>
  <c r="J70" i="10" s="1"/>
  <c r="J80" i="10" s="1"/>
  <c r="J117" i="10" s="1"/>
  <c r="J67" i="10"/>
  <c r="J77" i="10" s="1"/>
  <c r="I79" i="10" l="1"/>
  <c r="I75" i="10"/>
  <c r="I107" i="10"/>
  <c r="I109" i="10" s="1"/>
  <c r="I133" i="10"/>
  <c r="I135" i="10" s="1"/>
  <c r="N21" i="1"/>
  <c r="H88" i="10"/>
  <c r="H89" i="10"/>
  <c r="F119" i="2"/>
  <c r="P16" i="4" s="1"/>
  <c r="P8" i="4"/>
  <c r="J41" i="10"/>
  <c r="J74" i="10"/>
  <c r="F163" i="10"/>
  <c r="E172" i="10"/>
  <c r="E171" i="10"/>
  <c r="E176" i="10" s="1"/>
  <c r="K84" i="10"/>
  <c r="J85" i="10"/>
  <c r="J90" i="10" s="1"/>
  <c r="J102" i="10"/>
  <c r="J104" i="10" s="1"/>
  <c r="J143" i="10"/>
  <c r="J145" i="10" s="1"/>
  <c r="J56" i="10"/>
  <c r="J76" i="10" s="1"/>
  <c r="J53" i="10"/>
  <c r="G192" i="10"/>
  <c r="F150" i="1" s="1"/>
  <c r="K85" i="10"/>
  <c r="K102" i="10"/>
  <c r="K104" i="10" s="1"/>
  <c r="K143" i="10"/>
  <c r="K145" i="10" s="1"/>
  <c r="P27" i="7"/>
  <c r="P17" i="6"/>
  <c r="P56" i="1"/>
  <c r="P105" i="1"/>
  <c r="P104" i="1" s="1"/>
  <c r="N71" i="6"/>
  <c r="N141" i="4"/>
  <c r="N68" i="1"/>
  <c r="N102" i="1"/>
  <c r="N104" i="1" s="1"/>
  <c r="N73" i="6"/>
  <c r="N76" i="1"/>
  <c r="I96" i="10"/>
  <c r="I121" i="10"/>
  <c r="I86" i="10"/>
  <c r="O8" i="7"/>
  <c r="O18" i="4"/>
  <c r="O45" i="4" s="1"/>
  <c r="O22" i="4"/>
  <c r="O47" i="4" s="1"/>
  <c r="O27" i="1" s="1"/>
  <c r="O16" i="1"/>
  <c r="O46" i="4"/>
  <c r="O26" i="1" s="1"/>
  <c r="L54" i="7"/>
  <c r="L52" i="1"/>
  <c r="O9" i="7"/>
  <c r="O17" i="1"/>
  <c r="H112" i="10"/>
  <c r="H114" i="10" s="1"/>
  <c r="H138" i="10"/>
  <c r="H140" i="10" s="1"/>
  <c r="L23" i="7"/>
  <c r="L53" i="1"/>
  <c r="L23" i="6"/>
  <c r="B51" i="2" s="1"/>
  <c r="C53" i="2" s="1"/>
  <c r="C55" i="2" s="1"/>
  <c r="M29" i="4" s="1"/>
  <c r="L117" i="1"/>
  <c r="L119" i="1" s="1"/>
  <c r="L128" i="1" s="1"/>
  <c r="L59" i="1"/>
  <c r="L22" i="6"/>
  <c r="L97" i="6"/>
  <c r="K44" i="10"/>
  <c r="K50" i="10" s="1"/>
  <c r="K39" i="10"/>
  <c r="B73" i="2"/>
  <c r="B74" i="2" s="1"/>
  <c r="L178" i="1"/>
  <c r="O28" i="7"/>
  <c r="O57" i="1"/>
  <c r="G92" i="10"/>
  <c r="G93" i="10" s="1"/>
  <c r="L57" i="6" l="1"/>
  <c r="B75" i="2"/>
  <c r="C70" i="2"/>
  <c r="J107" i="10"/>
  <c r="J109" i="10" s="1"/>
  <c r="J133" i="10"/>
  <c r="J135" i="10" s="1"/>
  <c r="J79" i="10"/>
  <c r="J75" i="10"/>
  <c r="K74" i="10"/>
  <c r="K41" i="10"/>
  <c r="P8" i="7"/>
  <c r="P18" i="4"/>
  <c r="P45" i="4" s="1"/>
  <c r="P22" i="4"/>
  <c r="P47" i="4" s="1"/>
  <c r="P27" i="1" s="1"/>
  <c r="P16" i="1"/>
  <c r="P9" i="7"/>
  <c r="P17" i="1"/>
  <c r="L40" i="6"/>
  <c r="L31" i="6"/>
  <c r="L37" i="6" s="1"/>
  <c r="L30" i="7"/>
  <c r="L60" i="1"/>
  <c r="L42" i="6"/>
  <c r="L65" i="1" s="1"/>
  <c r="N106" i="1"/>
  <c r="J86" i="10"/>
  <c r="J121" i="10"/>
  <c r="J96" i="10"/>
  <c r="H92" i="10"/>
  <c r="H93" i="10" s="1"/>
  <c r="K53" i="10"/>
  <c r="K56" i="10"/>
  <c r="K76" i="10" s="1"/>
  <c r="L71" i="1"/>
  <c r="L73" i="1" s="1"/>
  <c r="L75" i="1" s="1"/>
  <c r="P46" i="4"/>
  <c r="P26" i="1" s="1"/>
  <c r="N142" i="4"/>
  <c r="N74" i="6" s="1"/>
  <c r="N72" i="6"/>
  <c r="N78" i="1"/>
  <c r="M12" i="7"/>
  <c r="M57" i="4"/>
  <c r="M59" i="4" s="1"/>
  <c r="M62" i="4" s="1"/>
  <c r="M22" i="1"/>
  <c r="M42" i="4"/>
  <c r="O56" i="4"/>
  <c r="O20" i="1"/>
  <c r="O11" i="7"/>
  <c r="P106" i="1"/>
  <c r="O51" i="7"/>
  <c r="O25" i="1"/>
  <c r="K90" i="10"/>
  <c r="I89" i="10"/>
  <c r="I88" i="10"/>
  <c r="P28" i="7"/>
  <c r="P57" i="1"/>
  <c r="O45" i="6"/>
  <c r="O49" i="6" s="1"/>
  <c r="O51" i="6" s="1"/>
  <c r="O10" i="7"/>
  <c r="O138" i="4"/>
  <c r="O140" i="4" s="1"/>
  <c r="O55" i="4"/>
  <c r="P126" i="4"/>
  <c r="P128" i="4" s="1"/>
  <c r="P130" i="4" s="1"/>
  <c r="P135" i="4" s="1"/>
  <c r="O60" i="4"/>
  <c r="O26" i="4"/>
  <c r="O44" i="1"/>
  <c r="O42" i="1"/>
  <c r="O137" i="1" s="1"/>
  <c r="O32" i="3"/>
  <c r="E122" i="2"/>
  <c r="O18" i="1"/>
  <c r="O73" i="4"/>
  <c r="O45" i="1" s="1"/>
  <c r="O69" i="1"/>
  <c r="O54" i="3"/>
  <c r="O61" i="6"/>
  <c r="I112" i="10"/>
  <c r="I114" i="10" s="1"/>
  <c r="I138" i="10"/>
  <c r="I140" i="10" s="1"/>
  <c r="F167" i="10"/>
  <c r="F164" i="10"/>
  <c r="P51" i="7" l="1"/>
  <c r="P25" i="1"/>
  <c r="J88" i="10"/>
  <c r="J89" i="10"/>
  <c r="P10" i="7"/>
  <c r="P45" i="6"/>
  <c r="P49" i="6" s="1"/>
  <c r="P51" i="6" s="1"/>
  <c r="P60" i="4"/>
  <c r="P26" i="4"/>
  <c r="P73" i="4"/>
  <c r="P45" i="1" s="1"/>
  <c r="P138" i="4"/>
  <c r="P55" i="4"/>
  <c r="P32" i="3"/>
  <c r="F122" i="2"/>
  <c r="P18" i="1"/>
  <c r="P69" i="1"/>
  <c r="P44" i="1"/>
  <c r="P42" i="1"/>
  <c r="P137" i="1" s="1"/>
  <c r="P54" i="3"/>
  <c r="P61" i="6"/>
  <c r="M15" i="7"/>
  <c r="M31" i="1"/>
  <c r="M76" i="4"/>
  <c r="M85" i="4" s="1"/>
  <c r="M8" i="5"/>
  <c r="M20" i="5" s="1"/>
  <c r="M23" i="1"/>
  <c r="K79" i="10"/>
  <c r="K75" i="10"/>
  <c r="K107" i="10"/>
  <c r="K109" i="10" s="1"/>
  <c r="K133" i="10"/>
  <c r="F165" i="10"/>
  <c r="F175" i="10" s="1"/>
  <c r="F166" i="10"/>
  <c r="F168" i="10" s="1"/>
  <c r="O21" i="1"/>
  <c r="J112" i="10"/>
  <c r="J114" i="10" s="1"/>
  <c r="J138" i="10"/>
  <c r="J140" i="10" s="1"/>
  <c r="I92" i="10"/>
  <c r="I93" i="10" s="1"/>
  <c r="L32" i="7"/>
  <c r="L61" i="1"/>
  <c r="O141" i="4"/>
  <c r="O71" i="6"/>
  <c r="O68" i="1"/>
  <c r="O102" i="1"/>
  <c r="O104" i="1" s="1"/>
  <c r="L131" i="1"/>
  <c r="C71" i="2"/>
  <c r="M37" i="5"/>
  <c r="C81" i="2"/>
  <c r="L52" i="6"/>
  <c r="L56" i="6" s="1"/>
  <c r="L58" i="6" s="1"/>
  <c r="L31" i="7"/>
  <c r="L62" i="1"/>
  <c r="L41" i="6"/>
  <c r="O73" i="6"/>
  <c r="O76" i="1"/>
  <c r="K96" i="10"/>
  <c r="B97" i="10" s="1"/>
  <c r="K121" i="10"/>
  <c r="K86" i="10"/>
  <c r="L63" i="5"/>
  <c r="L51" i="4"/>
  <c r="P11" i="7"/>
  <c r="P56" i="4"/>
  <c r="P20" i="1"/>
  <c r="L98" i="6"/>
  <c r="L59" i="6"/>
  <c r="L44" i="7" s="1"/>
  <c r="L63" i="6"/>
  <c r="L64" i="6" s="1"/>
  <c r="L65" i="6" s="1"/>
  <c r="L77" i="1" s="1"/>
  <c r="L37" i="7"/>
  <c r="L179" i="1"/>
  <c r="L129" i="1"/>
  <c r="L130" i="1" s="1"/>
  <c r="L72" i="1"/>
  <c r="L91" i="6"/>
  <c r="L99" i="6" l="1"/>
  <c r="L67" i="6"/>
  <c r="L90" i="6"/>
  <c r="L92" i="6" s="1"/>
  <c r="B192" i="1"/>
  <c r="B193" i="1" s="1"/>
  <c r="G163" i="10"/>
  <c r="F172" i="10"/>
  <c r="F171" i="10"/>
  <c r="F176" i="10" s="1"/>
  <c r="K112" i="10"/>
  <c r="K114" i="10" s="1"/>
  <c r="K138" i="10"/>
  <c r="K140" i="10" s="1"/>
  <c r="M93" i="7"/>
  <c r="L94" i="7"/>
  <c r="L102" i="7"/>
  <c r="L110" i="7"/>
  <c r="L111" i="7" s="1"/>
  <c r="L112" i="7" s="1"/>
  <c r="L55" i="7"/>
  <c r="L125" i="7" s="1"/>
  <c r="L64" i="1"/>
  <c r="M56" i="5"/>
  <c r="P73" i="6"/>
  <c r="P76" i="1"/>
  <c r="P21" i="1"/>
  <c r="L22" i="7"/>
  <c r="L70" i="5"/>
  <c r="L66" i="5"/>
  <c r="L64" i="5"/>
  <c r="L65" i="5" s="1"/>
  <c r="M176" i="1"/>
  <c r="L123" i="7"/>
  <c r="M50" i="4"/>
  <c r="M86" i="4" s="1"/>
  <c r="K88" i="10"/>
  <c r="K92" i="10" s="1"/>
  <c r="K93" i="10" s="1"/>
  <c r="K89" i="10"/>
  <c r="J92" i="10"/>
  <c r="J93" i="10" s="1"/>
  <c r="M19" i="7"/>
  <c r="M49" i="5"/>
  <c r="M21" i="5"/>
  <c r="M48" i="1"/>
  <c r="C78" i="2"/>
  <c r="M78" i="5"/>
  <c r="L36" i="7"/>
  <c r="L63" i="4"/>
  <c r="L52" i="4"/>
  <c r="L54" i="5"/>
  <c r="L94" i="4"/>
  <c r="L180" i="1"/>
  <c r="L32" i="1"/>
  <c r="L134" i="1" s="1"/>
  <c r="L53" i="7"/>
  <c r="M175" i="1"/>
  <c r="L181" i="1"/>
  <c r="L182" i="1"/>
  <c r="B128" i="10"/>
  <c r="G186" i="10"/>
  <c r="H149" i="10"/>
  <c r="B149" i="10"/>
  <c r="O106" i="1"/>
  <c r="O142" i="4"/>
  <c r="O74" i="6" s="1"/>
  <c r="O72" i="6"/>
  <c r="O78" i="1"/>
  <c r="K135" i="10"/>
  <c r="H153" i="10"/>
  <c r="G189" i="10"/>
  <c r="B153" i="10"/>
  <c r="M97" i="7" l="1"/>
  <c r="L41" i="7"/>
  <c r="L68" i="4"/>
  <c r="L38" i="1" s="1"/>
  <c r="L35" i="1"/>
  <c r="L135" i="1" s="1"/>
  <c r="L136" i="1" s="1"/>
  <c r="L99" i="4"/>
  <c r="L40" i="7"/>
  <c r="L100" i="4"/>
  <c r="L98" i="4"/>
  <c r="L39" i="7"/>
  <c r="L34" i="1"/>
  <c r="L67" i="4"/>
  <c r="L97" i="4"/>
  <c r="G164" i="10"/>
  <c r="G167" i="10"/>
  <c r="G187" i="10"/>
  <c r="F145" i="1" s="1"/>
  <c r="F153" i="1" s="1"/>
  <c r="F144" i="1"/>
  <c r="L42" i="7"/>
  <c r="L51" i="1"/>
  <c r="L75" i="5"/>
  <c r="C83" i="2"/>
  <c r="H151" i="10"/>
  <c r="B151" i="10"/>
  <c r="G190" i="10"/>
  <c r="F147" i="1"/>
  <c r="L71" i="5"/>
  <c r="L105" i="7"/>
  <c r="L106" i="7" s="1"/>
  <c r="L107" i="7" s="1"/>
  <c r="M79" i="5"/>
  <c r="M89" i="4"/>
  <c r="M93" i="4" s="1"/>
  <c r="M13" i="7"/>
  <c r="M30" i="1"/>
  <c r="M133" i="1" s="1"/>
  <c r="M80" i="5"/>
  <c r="M53" i="5"/>
  <c r="L96" i="7"/>
  <c r="B195" i="1" s="1"/>
  <c r="L98" i="7"/>
  <c r="C72" i="2" l="1"/>
  <c r="M39" i="5"/>
  <c r="M44" i="5" s="1"/>
  <c r="M14" i="7"/>
  <c r="G165" i="10"/>
  <c r="G175" i="10" s="1"/>
  <c r="G166" i="10"/>
  <c r="G168" i="10" s="1"/>
  <c r="B115" i="7"/>
  <c r="F148" i="1"/>
  <c r="L52" i="7"/>
  <c r="L37" i="1"/>
  <c r="M21" i="7"/>
  <c r="M57" i="5"/>
  <c r="M58" i="5"/>
  <c r="M60" i="5"/>
  <c r="M50" i="1"/>
  <c r="M74" i="5"/>
  <c r="M69" i="5"/>
  <c r="C84" i="2"/>
  <c r="C85" i="2" s="1"/>
  <c r="C86" i="2" s="1"/>
  <c r="H163" i="10" l="1"/>
  <c r="G172" i="10"/>
  <c r="G171" i="10"/>
  <c r="G176" i="10" s="1"/>
  <c r="C128" i="2"/>
  <c r="C129" i="2" s="1"/>
  <c r="C130" i="2" s="1"/>
  <c r="M21" i="6"/>
  <c r="M23" i="7"/>
  <c r="M53" i="1"/>
  <c r="M54" i="7"/>
  <c r="M52" i="1"/>
  <c r="M178" i="1"/>
  <c r="C73" i="2"/>
  <c r="C74" i="2" s="1"/>
  <c r="M57" i="6" l="1"/>
  <c r="D70" i="2"/>
  <c r="C75" i="2"/>
  <c r="M23" i="6"/>
  <c r="C51" i="2" s="1"/>
  <c r="D53" i="2" s="1"/>
  <c r="D55" i="2" s="1"/>
  <c r="N29" i="4" s="1"/>
  <c r="M117" i="1"/>
  <c r="M119" i="1" s="1"/>
  <c r="M128" i="1" s="1"/>
  <c r="M59" i="1"/>
  <c r="M22" i="6"/>
  <c r="M97" i="6"/>
  <c r="H164" i="10"/>
  <c r="H167" i="10"/>
  <c r="M71" i="1" l="1"/>
  <c r="M73" i="1" s="1"/>
  <c r="M75" i="1" s="1"/>
  <c r="M63" i="5"/>
  <c r="M51" i="4"/>
  <c r="H165" i="10"/>
  <c r="H175" i="10" s="1"/>
  <c r="H166" i="10"/>
  <c r="H168" i="10" s="1"/>
  <c r="M30" i="7"/>
  <c r="M31" i="6"/>
  <c r="M37" i="6" s="1"/>
  <c r="M40" i="6"/>
  <c r="M60" i="1"/>
  <c r="M42" i="6"/>
  <c r="M65" i="1" s="1"/>
  <c r="N12" i="7"/>
  <c r="N22" i="1"/>
  <c r="N57" i="4"/>
  <c r="N59" i="4" s="1"/>
  <c r="N62" i="4" s="1"/>
  <c r="N42" i="4"/>
  <c r="N37" i="5"/>
  <c r="D71" i="2"/>
  <c r="D81" i="2"/>
  <c r="M37" i="7"/>
  <c r="M98" i="6"/>
  <c r="M129" i="1"/>
  <c r="M130" i="1" s="1"/>
  <c r="M72" i="1"/>
  <c r="M179" i="1"/>
  <c r="M63" i="6"/>
  <c r="M91" i="6"/>
  <c r="M64" i="6" l="1"/>
  <c r="M65" i="6" s="1"/>
  <c r="M77" i="1" s="1"/>
  <c r="N15" i="7"/>
  <c r="N31" i="1"/>
  <c r="M182" i="1"/>
  <c r="N175" i="1"/>
  <c r="M181" i="1"/>
  <c r="M123" i="7"/>
  <c r="M32" i="7"/>
  <c r="M61" i="1"/>
  <c r="M65" i="5"/>
  <c r="M94" i="4"/>
  <c r="M36" i="7"/>
  <c r="M54" i="5"/>
  <c r="M52" i="4"/>
  <c r="M63" i="4"/>
  <c r="M32" i="1"/>
  <c r="M134" i="1" s="1"/>
  <c r="M180" i="1"/>
  <c r="M53" i="7"/>
  <c r="M22" i="7"/>
  <c r="M70" i="5"/>
  <c r="M64" i="5"/>
  <c r="M66" i="5"/>
  <c r="M59" i="6"/>
  <c r="M44" i="7" s="1"/>
  <c r="M52" i="6"/>
  <c r="M56" i="6" s="1"/>
  <c r="M58" i="6" s="1"/>
  <c r="M31" i="7"/>
  <c r="M62" i="1"/>
  <c r="M41" i="6"/>
  <c r="I163" i="10"/>
  <c r="H172" i="10"/>
  <c r="H171" i="10"/>
  <c r="H176" i="10" s="1"/>
  <c r="N56" i="5"/>
  <c r="N176" i="1"/>
  <c r="N8" i="5"/>
  <c r="N20" i="5" s="1"/>
  <c r="N76" i="4"/>
  <c r="N85" i="4" s="1"/>
  <c r="N23" i="1"/>
  <c r="M131" i="1"/>
  <c r="M55" i="7" l="1"/>
  <c r="M125" i="7" s="1"/>
  <c r="M64" i="1"/>
  <c r="M99" i="6"/>
  <c r="M67" i="6"/>
  <c r="M90" i="6"/>
  <c r="M92" i="6" s="1"/>
  <c r="M42" i="7"/>
  <c r="M51" i="1"/>
  <c r="M75" i="5"/>
  <c r="M94" i="7"/>
  <c r="N93" i="7"/>
  <c r="M102" i="7"/>
  <c r="M110" i="7"/>
  <c r="M111" i="7" s="1"/>
  <c r="M112" i="7" s="1"/>
  <c r="N50" i="4"/>
  <c r="N19" i="7"/>
  <c r="N49" i="5"/>
  <c r="N21" i="5"/>
  <c r="N48" i="1"/>
  <c r="D78" i="2"/>
  <c r="N78" i="5"/>
  <c r="M40" i="7"/>
  <c r="M100" i="4"/>
  <c r="M98" i="4"/>
  <c r="M71" i="5"/>
  <c r="M41" i="7"/>
  <c r="M68" i="4"/>
  <c r="M38" i="1" s="1"/>
  <c r="M35" i="1"/>
  <c r="M135" i="1" s="1"/>
  <c r="M136" i="1" s="1"/>
  <c r="M99" i="4"/>
  <c r="I167" i="10"/>
  <c r="I164" i="10"/>
  <c r="M39" i="7"/>
  <c r="M67" i="4"/>
  <c r="M34" i="1"/>
  <c r="M97" i="4"/>
  <c r="I165" i="10" l="1"/>
  <c r="I175" i="10" s="1"/>
  <c r="I166" i="10"/>
  <c r="I168" i="10" s="1"/>
  <c r="M96" i="7"/>
  <c r="M98" i="7"/>
  <c r="N80" i="5"/>
  <c r="N53" i="5"/>
  <c r="M52" i="7"/>
  <c r="M37" i="1"/>
  <c r="D83" i="2"/>
  <c r="D84" i="2" s="1"/>
  <c r="D85" i="2" s="1"/>
  <c r="D86" i="2" s="1"/>
  <c r="N97" i="7"/>
  <c r="N13" i="7"/>
  <c r="N89" i="4"/>
  <c r="N93" i="4" s="1"/>
  <c r="N30" i="1"/>
  <c r="N133" i="1" s="1"/>
  <c r="N86" i="4"/>
  <c r="M105" i="7"/>
  <c r="M106" i="7" s="1"/>
  <c r="M107" i="7" s="1"/>
  <c r="N21" i="6" l="1"/>
  <c r="D128" i="2"/>
  <c r="D129" i="2" s="1"/>
  <c r="D130" i="2" s="1"/>
  <c r="J163" i="10"/>
  <c r="I172" i="10"/>
  <c r="I171" i="10"/>
  <c r="I176" i="10" s="1"/>
  <c r="D72" i="2"/>
  <c r="N39" i="5"/>
  <c r="N44" i="5" s="1"/>
  <c r="N21" i="7"/>
  <c r="N60" i="5"/>
  <c r="N58" i="5"/>
  <c r="N57" i="5"/>
  <c r="N50" i="1"/>
  <c r="N74" i="5"/>
  <c r="N69" i="5"/>
  <c r="N14" i="7"/>
  <c r="N79" i="5"/>
  <c r="N23" i="7" l="1"/>
  <c r="N53" i="1"/>
  <c r="J167" i="10"/>
  <c r="J164" i="10"/>
  <c r="N178" i="1"/>
  <c r="D73" i="2"/>
  <c r="D74" i="2" s="1"/>
  <c r="N54" i="7"/>
  <c r="N52" i="1"/>
  <c r="N23" i="6"/>
  <c r="D51" i="2" s="1"/>
  <c r="E53" i="2" s="1"/>
  <c r="E55" i="2" s="1"/>
  <c r="O29" i="4" s="1"/>
  <c r="N117" i="1"/>
  <c r="N119" i="1" s="1"/>
  <c r="N128" i="1" s="1"/>
  <c r="N59" i="1"/>
  <c r="N22" i="6"/>
  <c r="N97" i="6"/>
  <c r="N71" i="1" l="1"/>
  <c r="N131" i="1" s="1"/>
  <c r="N57" i="6"/>
  <c r="E70" i="2"/>
  <c r="D75" i="2"/>
  <c r="J166" i="10"/>
  <c r="J168" i="10" s="1"/>
  <c r="J165" i="10"/>
  <c r="J175" i="10" s="1"/>
  <c r="O12" i="7"/>
  <c r="O57" i="4"/>
  <c r="O59" i="4" s="1"/>
  <c r="O62" i="4" s="1"/>
  <c r="O22" i="1"/>
  <c r="O42" i="4"/>
  <c r="N31" i="6"/>
  <c r="N37" i="6" s="1"/>
  <c r="N30" i="7"/>
  <c r="N60" i="1"/>
  <c r="N40" i="6"/>
  <c r="N42" i="6"/>
  <c r="N65" i="1" s="1"/>
  <c r="K163" i="10" l="1"/>
  <c r="J172" i="10"/>
  <c r="J171" i="10"/>
  <c r="J176" i="10" s="1"/>
  <c r="O8" i="5"/>
  <c r="O20" i="5" s="1"/>
  <c r="O76" i="4"/>
  <c r="O85" i="4" s="1"/>
  <c r="O23" i="1"/>
  <c r="N63" i="5"/>
  <c r="N51" i="4"/>
  <c r="N32" i="7"/>
  <c r="N61" i="1"/>
  <c r="N37" i="7"/>
  <c r="N98" i="6"/>
  <c r="N58" i="6"/>
  <c r="N59" i="6"/>
  <c r="N44" i="7" s="1"/>
  <c r="N129" i="1"/>
  <c r="N130" i="1" s="1"/>
  <c r="N72" i="1"/>
  <c r="N179" i="1"/>
  <c r="N63" i="6"/>
  <c r="N64" i="6" s="1"/>
  <c r="N65" i="6" s="1"/>
  <c r="N77" i="1" s="1"/>
  <c r="N91" i="6"/>
  <c r="N52" i="6"/>
  <c r="N56" i="6" s="1"/>
  <c r="N31" i="7"/>
  <c r="N62" i="1"/>
  <c r="N41" i="6"/>
  <c r="O15" i="7"/>
  <c r="O31" i="1"/>
  <c r="O37" i="5"/>
  <c r="E71" i="2"/>
  <c r="E81" i="2"/>
  <c r="N73" i="1"/>
  <c r="N75" i="1" s="1"/>
  <c r="O176" i="1" l="1"/>
  <c r="O175" i="1"/>
  <c r="N182" i="1"/>
  <c r="N181" i="1"/>
  <c r="N99" i="6"/>
  <c r="N67" i="6"/>
  <c r="N90" i="6"/>
  <c r="N92" i="6" s="1"/>
  <c r="N123" i="7"/>
  <c r="N55" i="7"/>
  <c r="N125" i="7" s="1"/>
  <c r="N64" i="1"/>
  <c r="N36" i="7"/>
  <c r="N63" i="4"/>
  <c r="N52" i="4"/>
  <c r="N94" i="4"/>
  <c r="N54" i="5"/>
  <c r="N32" i="1"/>
  <c r="N134" i="1" s="1"/>
  <c r="N180" i="1"/>
  <c r="N53" i="7"/>
  <c r="O50" i="4"/>
  <c r="N94" i="7"/>
  <c r="O93" i="7"/>
  <c r="N102" i="7"/>
  <c r="N110" i="7"/>
  <c r="N111" i="7" s="1"/>
  <c r="N112" i="7" s="1"/>
  <c r="O56" i="5"/>
  <c r="N22" i="7"/>
  <c r="N70" i="5"/>
  <c r="N66" i="5"/>
  <c r="N64" i="5"/>
  <c r="N65" i="5" s="1"/>
  <c r="O19" i="7"/>
  <c r="O49" i="5"/>
  <c r="O21" i="5"/>
  <c r="E78" i="2"/>
  <c r="O48" i="1"/>
  <c r="O78" i="5"/>
  <c r="K167" i="10"/>
  <c r="K164" i="10"/>
  <c r="O97" i="7" l="1"/>
  <c r="E83" i="2"/>
  <c r="E84" i="2" s="1"/>
  <c r="E85" i="2" s="1"/>
  <c r="E86" i="2" s="1"/>
  <c r="O13" i="7"/>
  <c r="O89" i="4"/>
  <c r="O93" i="4" s="1"/>
  <c r="O30" i="1"/>
  <c r="O133" i="1" s="1"/>
  <c r="N42" i="7"/>
  <c r="N51" i="1"/>
  <c r="N75" i="5"/>
  <c r="N39" i="7"/>
  <c r="N67" i="4"/>
  <c r="N34" i="1"/>
  <c r="N97" i="4"/>
  <c r="N41" i="7"/>
  <c r="N68" i="4"/>
  <c r="N38" i="1" s="1"/>
  <c r="N35" i="1"/>
  <c r="N135" i="1" s="1"/>
  <c r="N99" i="4"/>
  <c r="O86" i="4"/>
  <c r="N136" i="1"/>
  <c r="N40" i="7"/>
  <c r="N100" i="4"/>
  <c r="N98" i="4"/>
  <c r="K165" i="10"/>
  <c r="K175" i="10" s="1"/>
  <c r="H189" i="10" s="1"/>
  <c r="K166" i="10"/>
  <c r="K168" i="10" s="1"/>
  <c r="N98" i="7"/>
  <c r="N96" i="7"/>
  <c r="O80" i="5"/>
  <c r="O53" i="5"/>
  <c r="N71" i="5"/>
  <c r="N105" i="7"/>
  <c r="N106" i="7" s="1"/>
  <c r="N107" i="7" s="1"/>
  <c r="K172" i="10" l="1"/>
  <c r="H193" i="10" s="1"/>
  <c r="E151" i="1" s="1"/>
  <c r="K171" i="10"/>
  <c r="K176" i="10" s="1"/>
  <c r="O14" i="7"/>
  <c r="O21" i="7"/>
  <c r="O58" i="5"/>
  <c r="O60" i="5"/>
  <c r="O57" i="5"/>
  <c r="O50" i="1"/>
  <c r="O74" i="5"/>
  <c r="O69" i="5"/>
  <c r="O79" i="5"/>
  <c r="O39" i="5"/>
  <c r="O44" i="5" s="1"/>
  <c r="E72" i="2"/>
  <c r="N52" i="7"/>
  <c r="N37" i="1"/>
  <c r="O21" i="6"/>
  <c r="E128" i="2"/>
  <c r="E129" i="2" s="1"/>
  <c r="E130" i="2" s="1"/>
  <c r="H190" i="10"/>
  <c r="E148" i="1" s="1"/>
  <c r="E147" i="1"/>
  <c r="O54" i="7" l="1"/>
  <c r="O52" i="1"/>
  <c r="O23" i="7"/>
  <c r="O53" i="1"/>
  <c r="O178" i="1"/>
  <c r="E73" i="2"/>
  <c r="E74" i="2" s="1"/>
  <c r="K179" i="10"/>
  <c r="B180" i="10" s="1"/>
  <c r="H186" i="10" s="1"/>
  <c r="H192" i="10"/>
  <c r="E150" i="1" s="1"/>
  <c r="O23" i="6"/>
  <c r="E51" i="2" s="1"/>
  <c r="F53" i="2" s="1"/>
  <c r="F55" i="2" s="1"/>
  <c r="P29" i="4" s="1"/>
  <c r="O59" i="1"/>
  <c r="O117" i="1"/>
  <c r="O119" i="1" s="1"/>
  <c r="O128" i="1" s="1"/>
  <c r="O22" i="6"/>
  <c r="O97" i="6"/>
  <c r="O71" i="1" l="1"/>
  <c r="P12" i="7"/>
  <c r="P22" i="1"/>
  <c r="P57" i="4"/>
  <c r="P59" i="4" s="1"/>
  <c r="P62" i="4" s="1"/>
  <c r="P42" i="4"/>
  <c r="O57" i="6"/>
  <c r="F70" i="2"/>
  <c r="E75" i="2"/>
  <c r="O31" i="6"/>
  <c r="O37" i="6" s="1"/>
  <c r="O30" i="7"/>
  <c r="O40" i="6"/>
  <c r="O60" i="1"/>
  <c r="O42" i="6"/>
  <c r="O65" i="1" s="1"/>
  <c r="H187" i="10"/>
  <c r="E145" i="1" s="1"/>
  <c r="E153" i="1" s="1"/>
  <c r="E144" i="1"/>
  <c r="P76" i="4" l="1"/>
  <c r="P85" i="4" s="1"/>
  <c r="P8" i="5"/>
  <c r="P20" i="5" s="1"/>
  <c r="P23" i="1"/>
  <c r="O52" i="6"/>
  <c r="O56" i="6" s="1"/>
  <c r="O31" i="7"/>
  <c r="O62" i="1"/>
  <c r="O41" i="6"/>
  <c r="O51" i="4"/>
  <c r="O63" i="5"/>
  <c r="O37" i="7"/>
  <c r="O59" i="6"/>
  <c r="O44" i="7" s="1"/>
  <c r="O58" i="6"/>
  <c r="O98" i="6"/>
  <c r="O72" i="1"/>
  <c r="O129" i="1"/>
  <c r="O130" i="1" s="1"/>
  <c r="O179" i="1"/>
  <c r="O63" i="6"/>
  <c r="O64" i="6" s="1"/>
  <c r="O65" i="6" s="1"/>
  <c r="O77" i="1" s="1"/>
  <c r="O91" i="6"/>
  <c r="P15" i="7"/>
  <c r="P31" i="1"/>
  <c r="O32" i="7"/>
  <c r="O61" i="1"/>
  <c r="P37" i="5"/>
  <c r="F71" i="2"/>
  <c r="F81" i="2"/>
  <c r="O73" i="1"/>
  <c r="O75" i="1" s="1"/>
  <c r="O131" i="1"/>
  <c r="O102" i="7" l="1"/>
  <c r="P93" i="7"/>
  <c r="O94" i="7"/>
  <c r="O110" i="7"/>
  <c r="O111" i="7" s="1"/>
  <c r="O112" i="7" s="1"/>
  <c r="O123" i="7"/>
  <c r="P56" i="5"/>
  <c r="O94" i="4"/>
  <c r="O54" i="5"/>
  <c r="O63" i="4"/>
  <c r="O180" i="1"/>
  <c r="O36" i="7"/>
  <c r="O32" i="1"/>
  <c r="O134" i="1" s="1"/>
  <c r="O52" i="4"/>
  <c r="O53" i="7"/>
  <c r="O55" i="7"/>
  <c r="O125" i="7" s="1"/>
  <c r="O64" i="1"/>
  <c r="O182" i="1"/>
  <c r="P175" i="1"/>
  <c r="O181" i="1"/>
  <c r="P19" i="7"/>
  <c r="P21" i="5"/>
  <c r="P49" i="5"/>
  <c r="F78" i="2"/>
  <c r="P48" i="1"/>
  <c r="P78" i="5"/>
  <c r="O99" i="6"/>
  <c r="O67" i="6"/>
  <c r="O90" i="6"/>
  <c r="O92" i="6" s="1"/>
  <c r="P176" i="1"/>
  <c r="O22" i="7"/>
  <c r="O70" i="5"/>
  <c r="O64" i="5"/>
  <c r="O65" i="5" s="1"/>
  <c r="O66" i="5"/>
  <c r="P50" i="4"/>
  <c r="P86" i="4" s="1"/>
  <c r="P80" i="5" l="1"/>
  <c r="P53" i="5"/>
  <c r="O41" i="7"/>
  <c r="O68" i="4"/>
  <c r="O38" i="1" s="1"/>
  <c r="O35" i="1"/>
  <c r="O135" i="1" s="1"/>
  <c r="O99" i="4"/>
  <c r="O40" i="7"/>
  <c r="O100" i="4"/>
  <c r="O98" i="4"/>
  <c r="O98" i="7"/>
  <c r="O96" i="7"/>
  <c r="O136" i="1"/>
  <c r="P97" i="7"/>
  <c r="F83" i="2"/>
  <c r="F84" i="2" s="1"/>
  <c r="F85" i="2" s="1"/>
  <c r="F86" i="2" s="1"/>
  <c r="O71" i="5"/>
  <c r="O42" i="7"/>
  <c r="O51" i="1"/>
  <c r="O75" i="5"/>
  <c r="O39" i="7"/>
  <c r="O67" i="4"/>
  <c r="O34" i="1"/>
  <c r="O97" i="4"/>
  <c r="P13" i="7"/>
  <c r="P79" i="5"/>
  <c r="P89" i="4"/>
  <c r="P93" i="4" s="1"/>
  <c r="P30" i="1"/>
  <c r="P133" i="1" s="1"/>
  <c r="O105" i="7"/>
  <c r="O106" i="7" s="1"/>
  <c r="O107" i="7" s="1"/>
  <c r="P21" i="6" l="1"/>
  <c r="F128" i="2"/>
  <c r="F129" i="2" s="1"/>
  <c r="F130" i="2" s="1"/>
  <c r="O52" i="7"/>
  <c r="O37" i="1"/>
  <c r="P14" i="7"/>
  <c r="P60" i="5"/>
  <c r="P57" i="5"/>
  <c r="P21" i="7"/>
  <c r="P58" i="5"/>
  <c r="P50" i="1"/>
  <c r="P74" i="5"/>
  <c r="P69" i="5"/>
  <c r="P39" i="5"/>
  <c r="P44" i="5" s="1"/>
  <c r="F72" i="2"/>
  <c r="P23" i="7" l="1"/>
  <c r="P53" i="1"/>
  <c r="P54" i="7"/>
  <c r="P52" i="1"/>
  <c r="P178" i="1"/>
  <c r="F73" i="2"/>
  <c r="F74" i="2" s="1"/>
  <c r="P23" i="6"/>
  <c r="F51" i="2" s="1"/>
  <c r="P117" i="1"/>
  <c r="P119" i="1" s="1"/>
  <c r="P128" i="1" s="1"/>
  <c r="P59" i="1"/>
  <c r="P22" i="6"/>
  <c r="P97" i="6"/>
  <c r="P31" i="6" l="1"/>
  <c r="P37" i="6" s="1"/>
  <c r="P30" i="7"/>
  <c r="P40" i="6"/>
  <c r="P60" i="1"/>
  <c r="P42" i="6"/>
  <c r="P65" i="1" s="1"/>
  <c r="P57" i="6"/>
  <c r="F75" i="2"/>
  <c r="P71" i="1"/>
  <c r="P73" i="1" s="1"/>
  <c r="P75" i="1" s="1"/>
  <c r="P51" i="4" l="1"/>
  <c r="P63" i="5"/>
  <c r="P131" i="1"/>
  <c r="P37" i="7"/>
  <c r="P123" i="7" s="1"/>
  <c r="P59" i="6"/>
  <c r="P44" i="7" s="1"/>
  <c r="P98" i="6"/>
  <c r="P179" i="1"/>
  <c r="P72" i="1"/>
  <c r="P129" i="1"/>
  <c r="P130" i="1" s="1"/>
  <c r="P63" i="6"/>
  <c r="P64" i="6" s="1"/>
  <c r="P65" i="6" s="1"/>
  <c r="P77" i="1" s="1"/>
  <c r="P91" i="6"/>
  <c r="P52" i="6"/>
  <c r="P56" i="6" s="1"/>
  <c r="P58" i="6" s="1"/>
  <c r="P31" i="7"/>
  <c r="P62" i="1"/>
  <c r="P41" i="6"/>
  <c r="P32" i="7"/>
  <c r="P61" i="1"/>
  <c r="P99" i="6" l="1"/>
  <c r="P67" i="6"/>
  <c r="P90" i="6"/>
  <c r="P92" i="6" s="1"/>
  <c r="P182" i="1"/>
  <c r="P181" i="1"/>
  <c r="P22" i="7"/>
  <c r="P70" i="5"/>
  <c r="P71" i="5" s="1"/>
  <c r="P66" i="5"/>
  <c r="P64" i="5"/>
  <c r="P65" i="5" s="1"/>
  <c r="P102" i="7"/>
  <c r="P105" i="7" s="1"/>
  <c r="P106" i="7" s="1"/>
  <c r="P107" i="7" s="1"/>
  <c r="P94" i="7"/>
  <c r="P110" i="7"/>
  <c r="P111" i="7" s="1"/>
  <c r="P112" i="7" s="1"/>
  <c r="P55" i="7"/>
  <c r="P125" i="7" s="1"/>
  <c r="P64" i="1"/>
  <c r="P36" i="7"/>
  <c r="P52" i="4"/>
  <c r="P63" i="4"/>
  <c r="P54" i="5"/>
  <c r="P94" i="4"/>
  <c r="P180" i="1"/>
  <c r="P32" i="1"/>
  <c r="P134" i="1" s="1"/>
  <c r="P53" i="7"/>
  <c r="P98" i="7" l="1"/>
  <c r="P96" i="7"/>
  <c r="B117" i="7"/>
  <c r="B93" i="1"/>
  <c r="P41" i="7"/>
  <c r="P68" i="4"/>
  <c r="P38" i="1" s="1"/>
  <c r="P35" i="1"/>
  <c r="P135" i="1" s="1"/>
  <c r="P136" i="1" s="1"/>
  <c r="P99" i="4"/>
  <c r="B116" i="7"/>
  <c r="B92" i="1"/>
  <c r="P40" i="7"/>
  <c r="P100" i="4"/>
  <c r="P98" i="4"/>
  <c r="P42" i="7"/>
  <c r="P51" i="1"/>
  <c r="P75" i="5"/>
  <c r="P39" i="7"/>
  <c r="P67" i="4"/>
  <c r="P34" i="1"/>
  <c r="P97" i="4"/>
  <c r="P52" i="7" l="1"/>
  <c r="P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200-000001000000}">
      <text>
        <r>
          <rPr>
            <sz val="10"/>
            <rFont val="Arial"/>
            <family val="2"/>
          </rPr>
          <t>Source: FY2016 MD&amp;A (Killam Q4 12-31-2016-MDA), p.19 (geographic same-property NOI table)
Atlantic segment NOI ~$76,000K (estimated aggregate)
Apt same-property: Halifax $37,056 + Moncton $8,838 + Fredericton $8,520 + Saint John $4,603 + St. John's $6,650 + Charlottetown $6,418 + Other $1,267 (p.19)</t>
        </r>
      </text>
    </comment>
    <comment ref="C8" authorId="0" shapeId="0" xr:uid="{00000000-0006-0000-0200-000011000000}">
      <text>
        <r>
          <rPr>
            <sz val="10"/>
            <rFont val="Arial"/>
            <family val="2"/>
          </rPr>
          <t>Source: FY2017 AR (Killam.AR_.17-3.pdf), p.43 (MDA section)
Atlantic NOI ~$85,000K (estimated aggregate from same-property table)
Halifax $39,118 + Moncton $8,773 + Fredericton $8,998 + Saint John $5,482 + St. John's $7,161 + Charlottetown $6,023 + Other $3,231</t>
        </r>
      </text>
    </comment>
    <comment ref="D8" authorId="0" shapeId="0" xr:uid="{00000000-0006-0000-0200-000021000000}">
      <text>
        <r>
          <rPr>
            <sz val="10"/>
            <rFont val="Arial"/>
            <family val="2"/>
          </rPr>
          <t>Source: FY2018 MDA (Killam Q4 12-31-2018-MDA - FINAL-3.pdf) (estimated aggregate from geographic tables)
Atlantic NOI ~$98,000K</t>
        </r>
      </text>
    </comment>
    <comment ref="E8" authorId="0" shapeId="0" xr:uid="{00000000-0006-0000-0200-000031000000}">
      <text>
        <r>
          <rPr>
            <sz val="10"/>
            <rFont val="Arial"/>
            <family val="2"/>
          </rPr>
          <t>Source: FY2019 MDA (Killam Q4 12-31-2019 MDA FINAL-3.pdf) (estimated aggregate)
Atlantic NOI ~$105,000K</t>
        </r>
      </text>
    </comment>
    <comment ref="F8" authorId="0" shapeId="0" xr:uid="{00000000-0006-0000-0200-000041000000}">
      <text>
        <r>
          <rPr>
            <sz val="10"/>
            <rFont val="Arial"/>
            <family val="2"/>
          </rPr>
          <t>Source: FY2020 MDA (Killam Q4 12-31-2020 MDA for Release-4.pdf) (estimated aggregate)
Atlantic NOI ~$116,000K</t>
        </r>
      </text>
    </comment>
    <comment ref="G8" authorId="0" shapeId="0" xr:uid="{00000000-0006-0000-0200-000051000000}">
      <text>
        <r>
          <rPr>
            <sz val="10"/>
            <rFont val="Arial"/>
            <family val="2"/>
          </rPr>
          <t>Source: FY2021 MDA (KillamQ42021 MDA-3.pdf) (estimated aggregate)
Atlantic NOI ~$132,000K</t>
        </r>
      </text>
    </comment>
    <comment ref="H8" authorId="0" shapeId="0" xr:uid="{00000000-0006-0000-0200-000061000000}">
      <text>
        <r>
          <rPr>
            <sz val="10"/>
            <rFont val="Arial"/>
            <family val="2"/>
          </rPr>
          <t>Source: FY2022 MDA (KMP.UN - MDA Q4 12-31-2022-2.pdf) (estimated aggregate)
Atlantic NOI ~$148,000K</t>
        </r>
      </text>
    </comment>
    <comment ref="I8" authorId="0" shapeId="0" xr:uid="{00000000-0006-0000-0200-000071000000}">
      <text>
        <r>
          <rPr>
            <sz val="10"/>
            <rFont val="Arial"/>
            <family val="2"/>
          </rPr>
          <t>Source: FY2023 MDA (Killam Q4 12-31-2023 MDA-2.pdf) (estimated aggregate)
Atlantic NOI ~$160,000K</t>
        </r>
      </text>
    </comment>
    <comment ref="J8" authorId="0" shapeId="0" xr:uid="{00000000-0006-0000-0200-00007E000000}">
      <text>
        <r>
          <rPr>
            <sz val="10"/>
            <rFont val="Arial"/>
            <family val="2"/>
          </rPr>
          <t>Source: FY2024 MDA (Killam Q4 12-31-2024 MDA - Final-4.pdf) (estimated aggregate)
Atlantic NOI ~$172,000K</t>
        </r>
      </text>
    </comment>
    <comment ref="K8" authorId="0" shapeId="0" xr:uid="{00000000-0006-0000-0200-00008E000000}">
      <text>
        <r>
          <rPr>
            <sz val="10"/>
            <rFont val="Arial"/>
            <family val="2"/>
          </rPr>
          <t>Source: FY2025 MDA (Killam Q4 12-31-2025 MDA-2.pdf) (estimated aggregate)
Atlantic NOI ~$186,000K</t>
        </r>
      </text>
    </comment>
    <comment ref="B9" authorId="0" shapeId="0" xr:uid="{00000000-0006-0000-0200-000002000000}">
      <text>
        <r>
          <rPr>
            <sz val="10"/>
            <rFont val="Arial"/>
            <family val="2"/>
          </rPr>
          <t>Source: FY2016 MD&amp;A (Killam Q4 12-31-2016-MDA), p.19
Ontario same-property NOI $13,617K FY2016
Note: model shows ~$12,000 which may differ due to non-same-property adjustment</t>
        </r>
      </text>
    </comment>
    <comment ref="C9" authorId="0" shapeId="0" xr:uid="{00000000-0006-0000-0200-000012000000}">
      <text>
        <r>
          <rPr>
            <sz val="10"/>
            <rFont val="Arial"/>
            <family val="2"/>
          </rPr>
          <t>Source: FY2017 AR (Killam.AR_.17-3.pdf), p.43 (MDA section)
Ontario same-property NOI $14,571K FY2017 (-0.4% growth)</t>
        </r>
      </text>
    </comment>
    <comment ref="D9" authorId="0" shapeId="0" xr:uid="{00000000-0006-0000-0200-000022000000}">
      <text>
        <r>
          <rPr>
            <sz val="10"/>
            <rFont val="Arial"/>
            <family val="2"/>
          </rPr>
          <t>Source: FY2018 MDA (Killam Q4 12-31-2018-MDA - FINAL-3.pdf)
Ontario NOI ~$18,000K</t>
        </r>
      </text>
    </comment>
    <comment ref="E9" authorId="0" shapeId="0" xr:uid="{00000000-0006-0000-0200-000032000000}">
      <text>
        <r>
          <rPr>
            <sz val="10"/>
            <rFont val="Arial"/>
            <family val="2"/>
          </rPr>
          <t>Source: FY2019 MDA (Killam Q4 12-31-2019 MDA FINAL-3.pdf)
Ontario NOI ~$21,593K</t>
        </r>
      </text>
    </comment>
    <comment ref="F9" authorId="0" shapeId="0" xr:uid="{00000000-0006-0000-0200-000042000000}">
      <text>
        <r>
          <rPr>
            <sz val="10"/>
            <rFont val="Arial"/>
            <family val="2"/>
          </rPr>
          <t>Source: FY2020 MDA (Killam Q4 12-31-2020 MDA for Release-4.pdf)
Ontario NOI ~$23,739K</t>
        </r>
      </text>
    </comment>
    <comment ref="G9" authorId="0" shapeId="0" xr:uid="{00000000-0006-0000-0200-000052000000}">
      <text>
        <r>
          <rPr>
            <sz val="10"/>
            <rFont val="Arial"/>
            <family val="2"/>
          </rPr>
          <t>Source: FY2021 MDA (KillamQ42021 MDA-3.pdf)
Ontario NOI ~$27,744K</t>
        </r>
      </text>
    </comment>
    <comment ref="H9" authorId="0" shapeId="0" xr:uid="{00000000-0006-0000-0200-000062000000}">
      <text>
        <r>
          <rPr>
            <sz val="10"/>
            <rFont val="Arial"/>
            <family val="2"/>
          </rPr>
          <t>Source: FY2022 MDA (KMP.UN - MDA Q4 12-31-2022-2.pdf)
Ontario NOI ~$28,615K</t>
        </r>
      </text>
    </comment>
    <comment ref="I9" authorId="0" shapeId="0" xr:uid="{00000000-0006-0000-0200-000072000000}">
      <text>
        <r>
          <rPr>
            <sz val="10"/>
            <rFont val="Arial"/>
            <family val="2"/>
          </rPr>
          <t>Source: FY2023 MDA (Killam Q4 12-31-2023 MDA-2.pdf)
Ontario NOI ~$42,000K</t>
        </r>
      </text>
    </comment>
    <comment ref="J9" authorId="0" shapeId="0" xr:uid="{00000000-0006-0000-0200-00007F000000}">
      <text>
        <r>
          <rPr>
            <sz val="10"/>
            <rFont val="Arial"/>
            <family val="2"/>
          </rPr>
          <t>Source: FY2024 MDA (Killam Q4 12-31-2024 MDA - Final-4.pdf)
Ontario NOI ~$46,345K</t>
        </r>
      </text>
    </comment>
    <comment ref="K9" authorId="0" shapeId="0" xr:uid="{00000000-0006-0000-0200-00008F000000}">
      <text>
        <r>
          <rPr>
            <sz val="10"/>
            <rFont val="Arial"/>
            <family val="2"/>
          </rPr>
          <t>Source: FY2025 MDA (Killam Q4 12-31-2025 MDA-2.pdf)
Ontario NOI ~$54,639K</t>
        </r>
      </text>
    </comment>
    <comment ref="B13" authorId="0" shapeId="0" xr:uid="{00000000-0006-0000-0200-000003000000}">
      <text>
        <r>
          <rPr>
            <sz val="10"/>
            <rFont val="Arial"/>
            <family val="2"/>
          </rPr>
          <t>Source: FY2016 MD&amp;A (Killam Q4 12-31-2016-MDA), p.5 &amp; p.16
Same-property NOI $97,729K FY2016, $93,980K FY2015
206 stabilized properties, 18,529 units (96.5% of portfolio)</t>
        </r>
      </text>
    </comment>
    <comment ref="C13" authorId="0" shapeId="0" xr:uid="{00000000-0006-0000-0200-000013000000}">
      <text>
        <r>
          <rPr>
            <sz val="10"/>
            <rFont val="Arial"/>
            <family val="2"/>
          </rPr>
          <t>Source: FY2017 AR (Killam.AR_.17-3.pdf), p.29 (MDA section)
Same-property NOI $104,595K FY2017, $100,972K FY2016
93.7% of portfolio based on Dec 31, 2017 unit count</t>
        </r>
      </text>
    </comment>
    <comment ref="D13" authorId="0" shapeId="0" xr:uid="{00000000-0006-0000-0200-000023000000}">
      <text>
        <r>
          <rPr>
            <sz val="10"/>
            <rFont val="Arial"/>
            <family val="2"/>
          </rPr>
          <t>Source: FY2018 MDA (Killam Q4 12-31-2018-MDA - FINAL-3.pdf), p.5
Same-property NOI $112,846K FY2018</t>
        </r>
      </text>
    </comment>
    <comment ref="E13" authorId="0" shapeId="0" xr:uid="{00000000-0006-0000-0200-000033000000}">
      <text>
        <r>
          <rPr>
            <sz val="10"/>
            <rFont val="Arial"/>
            <family val="2"/>
          </rPr>
          <t>Source: FY2019 MDA (Killam Q4 12-31-2019 MDA FINAL-3.pdf), p.5
Same-property NOI $126,485K FY2019, $121,482K FY2018
Same-property NOI margin 62.9%</t>
        </r>
      </text>
    </comment>
    <comment ref="F13" authorId="0" shapeId="0" xr:uid="{00000000-0006-0000-0200-000043000000}">
      <text>
        <r>
          <rPr>
            <sz val="10"/>
            <rFont val="Arial"/>
            <family val="2"/>
          </rPr>
          <t>Source: FY2020 MDA (Killam Q4 12-31-2020 MDA for Release-4.pdf), p.5
Same-property NOI $147,372K FY2020, $144,030K FY2019
Margin 63.5%</t>
        </r>
      </text>
    </comment>
    <comment ref="G13" authorId="0" shapeId="0" xr:uid="{00000000-0006-0000-0200-000053000000}">
      <text>
        <r>
          <rPr>
            <sz val="10"/>
            <rFont val="Arial"/>
            <family val="2"/>
          </rPr>
          <t>Source: FY2021 MDA (KillamQ42021 MDA-3.pdf), p.6
Same-property NOI $165,112K FY2021, $157,035K FY2020
Margin 62.9%</t>
        </r>
      </text>
    </comment>
    <comment ref="H13" authorId="0" shapeId="0" xr:uid="{00000000-0006-0000-0200-000063000000}">
      <text>
        <r>
          <rPr>
            <sz val="10"/>
            <rFont val="Arial"/>
            <family val="2"/>
          </rPr>
          <t>Source: FY2022 MDA (KMP.UN - MDA Q4 12-31-2022-2.pdf), p.6
Same-property NOI $182,318K FY2022, $174,138K FY2021
Note: this is Part 1 figure. Part 2 of extraction shows $179,015K — pool contamination issue
CEO confirmed 4.7% growth on Q4 2022 earnings call (p.3 of transcript)</t>
        </r>
      </text>
    </comment>
    <comment ref="I13" authorId="0" shapeId="0" xr:uid="{00000000-0006-0000-0200-000073000000}">
      <text>
        <r>
          <rPr>
            <sz val="10"/>
            <rFont val="Arial"/>
            <family val="2"/>
          </rPr>
          <t>Source: FY2023 MDA (Killam Q4 12-31-2023 MDA-2.pdf), p.6
Same-property NOI $205,942K FY2023, $191,089K FY2022
Margin 64.2%</t>
        </r>
      </text>
    </comment>
    <comment ref="J13" authorId="0" shapeId="0" xr:uid="{00000000-0006-0000-0200-000080000000}">
      <text>
        <r>
          <rPr>
            <sz val="10"/>
            <rFont val="Arial"/>
            <family val="2"/>
          </rPr>
          <t>Source: FY2024 MDA (Killam Q4 12-31-2024 MDA - Final-4.pdf), p.6
Same-property NOI $230,328K FY2024, $212,567K FY2023
Margin 65.9%</t>
        </r>
      </text>
    </comment>
    <comment ref="K13" authorId="0" shapeId="0" xr:uid="{00000000-0006-0000-0200-000090000000}">
      <text>
        <r>
          <rPr>
            <sz val="10"/>
            <rFont val="Arial"/>
            <family val="2"/>
          </rPr>
          <t>Source: FY2025 MDA (Killam Q4 12-31-2025 MDA-2.pdf), p.18
Same-property NOI $238,991K FY2025, $225,237K FY2024
Margin 66.5%</t>
        </r>
      </text>
    </comment>
    <comment ref="B14" authorId="0" shapeId="0" xr:uid="{00000000-0006-0000-0200-000004000000}">
      <text>
        <r>
          <rPr>
            <sz val="10"/>
            <rFont val="Arial"/>
            <family val="2"/>
          </rPr>
          <t>Source: FY2016 MD&amp;A (Killam Q4 12-31-2016-MDA), p.5 &amp; p.16
Same-property NOI growth 4.0% FY2016
Revenue +1.8%, expenses -1.2% (p.16)
Apt same-property 4.1% (p.17), MHC same-property 2.7% (p.21)</t>
        </r>
      </text>
    </comment>
    <comment ref="C14" authorId="0" shapeId="0" xr:uid="{00000000-0006-0000-0200-000014000000}">
      <text>
        <r>
          <rPr>
            <sz val="10"/>
            <rFont val="Arial"/>
            <family val="2"/>
          </rPr>
          <t>Source: FY2017 AR (Killam.AR_.17-3.pdf), p.29 (MDA section)
Same-property NOI growth 3.6% FY2017
= $104,595 / $100,972 - 1
Note: p.43 shows apartment-only same-store growth of 3.5%</t>
        </r>
      </text>
    </comment>
    <comment ref="D14" authorId="0" shapeId="0" xr:uid="{00000000-0006-0000-0200-000024000000}">
      <text>
        <r>
          <rPr>
            <sz val="10"/>
            <rFont val="Arial"/>
            <family val="2"/>
          </rPr>
          <t>Source: FY2018 MDA (Killam Q4 12-31-2018-MDA - FINAL-3.pdf), p.5
Same-property NOI growth 4.8% FY2018</t>
        </r>
      </text>
    </comment>
    <comment ref="E14" authorId="0" shapeId="0" xr:uid="{00000000-0006-0000-0200-000034000000}">
      <text>
        <r>
          <rPr>
            <sz val="10"/>
            <rFont val="Arial"/>
            <family val="2"/>
          </rPr>
          <t>Source: FY2019 MDA (Killam Q4 12-31-2019 MDA FINAL-3.pdf), p.5
Same-property NOI growth 4.1% FY2019</t>
        </r>
      </text>
    </comment>
    <comment ref="F14" authorId="0" shapeId="0" xr:uid="{00000000-0006-0000-0200-000044000000}">
      <text>
        <r>
          <rPr>
            <sz val="10"/>
            <rFont val="Arial"/>
            <family val="2"/>
          </rPr>
          <t>Source: FY2020 MDA (Killam Q4 12-31-2020 MDA for Release-4.pdf), p.5
Same-property NOI growth 2.3% FY2020
COVID-impacted: lower turnover, reduced seasonal MHC revenue</t>
        </r>
      </text>
    </comment>
    <comment ref="G14" authorId="0" shapeId="0" xr:uid="{00000000-0006-0000-0200-000054000000}">
      <text>
        <r>
          <rPr>
            <sz val="10"/>
            <rFont val="Arial"/>
            <family val="2"/>
          </rPr>
          <t>Source: FY2021 MDA (KillamQ42021 MDA-3.pdf), p.6
Same-property NOI growth 5.1% FY2021</t>
        </r>
      </text>
    </comment>
    <comment ref="H14" authorId="0" shapeId="0" xr:uid="{00000000-0006-0000-0200-000064000000}">
      <text>
        <r>
          <rPr>
            <sz val="10"/>
            <rFont val="Arial"/>
            <family val="2"/>
          </rPr>
          <t>Source: FY2022 MDA (KMP.UN - MDA Q4 12-31-2022-2.pdf), p.6 &amp; Q4 2022 earnings call transcript
Same-property NOI growth 4.7% FY2022
CEO quote confirms 4.7% total, 4.5% apt, 6.0% MHC, 7.9% commercial</t>
        </r>
      </text>
    </comment>
    <comment ref="I14" authorId="0" shapeId="0" xr:uid="{00000000-0006-0000-0200-000074000000}">
      <text>
        <r>
          <rPr>
            <sz val="10"/>
            <rFont val="Arial"/>
            <family val="2"/>
          </rPr>
          <t>Source: FY2023 MDA (Killam Q4 12-31-2023 MDA-2.pdf), p.6
Same-property NOI growth 7.8% FY2023</t>
        </r>
      </text>
    </comment>
    <comment ref="J14" authorId="0" shapeId="0" xr:uid="{00000000-0006-0000-0200-000081000000}">
      <text>
        <r>
          <rPr>
            <sz val="10"/>
            <rFont val="Arial"/>
            <family val="2"/>
          </rPr>
          <t>Source: FY2024 MDA (Killam Q4 12-31-2024 MDA - Final-4.pdf), p.6
Same-property NOI growth 8.4% FY2024
Strongest growth in the series — driven by 5.2% revenue growth and 1.7% expense growth</t>
        </r>
      </text>
    </comment>
    <comment ref="K14" authorId="0" shapeId="0" xr:uid="{00000000-0006-0000-0200-000091000000}">
      <text>
        <r>
          <rPr>
            <sz val="10"/>
            <rFont val="Arial"/>
            <family val="2"/>
          </rPr>
          <t>Source: FY2025 MDA (Killam Q4 12-31-2025 MDA-2.pdf), p.18
Same-property NOI growth 6.1% FY2025</t>
        </r>
      </text>
    </comment>
    <comment ref="B19" authorId="0" shapeId="0" xr:uid="{00000000-0006-0000-0200-000005000000}">
      <text>
        <r>
          <rPr>
            <sz val="10"/>
            <rFont val="Arial"/>
            <family val="2"/>
          </rPr>
          <t>Source: FY2016 MD&amp;A (Killam Q4 12-31-2016-MDA), p.17
Total apartment occupancy 95.8% same-property FY2016 WA
Total portfolio 95.7% (p.17)</t>
        </r>
      </text>
    </comment>
    <comment ref="C19" authorId="0" shapeId="0" xr:uid="{00000000-0006-0000-0200-000015000000}">
      <text>
        <r>
          <rPr>
            <sz val="10"/>
            <rFont val="Arial"/>
            <family val="2"/>
          </rPr>
          <t>Source: FY2017 AR (Killam.AR_.17-3.pdf), p.29 (MDA section)
Total portfolio occupancy 96.3% FY2017 (96.5% same-property)</t>
        </r>
      </text>
    </comment>
    <comment ref="D19" authorId="0" shapeId="0" xr:uid="{00000000-0006-0000-0200-000025000000}">
      <text>
        <r>
          <rPr>
            <sz val="10"/>
            <rFont val="Arial"/>
            <family val="2"/>
          </rPr>
          <t>Source: FY2018 MDA (Killam Q4 12-31-2018-MDA - FINAL-3.pdf), p.17
Total apartment occupancy 96.3% FY2018
Same-property 97.1% (p.5)</t>
        </r>
      </text>
    </comment>
    <comment ref="E19" authorId="0" shapeId="0" xr:uid="{00000000-0006-0000-0200-000035000000}">
      <text>
        <r>
          <rPr>
            <sz val="10"/>
            <rFont val="Arial"/>
            <family val="2"/>
          </rPr>
          <t>Source: FY2019 MDA (Killam Q4 12-31-2019 MDA FINAL-3.pdf), p.19
Total portfolio occupancy 97.0% FY2019
Same-property 97.3% (p.5)</t>
        </r>
      </text>
    </comment>
    <comment ref="F19" authorId="0" shapeId="0" xr:uid="{00000000-0006-0000-0200-000045000000}">
      <text>
        <r>
          <rPr>
            <sz val="10"/>
            <rFont val="Arial"/>
            <family val="2"/>
          </rPr>
          <t>Source: FY2020 MDA (Killam Q4 12-31-2020 MDA for Release-4.pdf), p.20
Total portfolio occupancy 96.5% FY2020 (down from 97.0%)
Same-property 96.8% (p.5)</t>
        </r>
      </text>
    </comment>
    <comment ref="G19" authorId="0" shapeId="0" xr:uid="{00000000-0006-0000-0200-000055000000}">
      <text>
        <r>
          <rPr>
            <sz val="10"/>
            <rFont val="Arial"/>
            <family val="2"/>
          </rPr>
          <t>Source: FY2021 MDA (KillamQ42021 MDA-3.pdf), p.19
Total portfolio occupancy 96.6% FY2021
Same-property 97.2% (p.6)</t>
        </r>
      </text>
    </comment>
    <comment ref="H19" authorId="0" shapeId="0" xr:uid="{00000000-0006-0000-0200-000065000000}">
      <text>
        <r>
          <rPr>
            <sz val="10"/>
            <rFont val="Arial"/>
            <family val="2"/>
          </rPr>
          <t>Source: FY2022 MDA (KMP.UN - MDA Q4 12-31-2022-2.pdf), p.20
Total portfolio occupancy 97.3% FY2022 (weighted average)
Same-property 98.3% (p.6)</t>
        </r>
      </text>
    </comment>
    <comment ref="I19" authorId="0" shapeId="0" xr:uid="{00000000-0006-0000-0200-000075000000}">
      <text>
        <r>
          <rPr>
            <sz val="10"/>
            <rFont val="Arial"/>
            <family val="2"/>
          </rPr>
          <t>Source: FY2023 MDA (Killam Q4 12-31-2023 MDA-2.pdf), p.20
Total apartment occupancy 97.4% FY2023</t>
        </r>
      </text>
    </comment>
    <comment ref="J19" authorId="0" shapeId="0" xr:uid="{00000000-0006-0000-0200-000082000000}">
      <text>
        <r>
          <rPr>
            <sz val="10"/>
            <rFont val="Arial"/>
            <family val="2"/>
          </rPr>
          <t>Source: FY2024 MDA (Killam Q4 12-31-2024 MDA - Final-4.pdf), p.20
Total portfolio occupancy 96.8% FY2024
Same-property 98.0% (p.6)</t>
        </r>
      </text>
    </comment>
    <comment ref="K19" authorId="0" shapeId="0" xr:uid="{00000000-0006-0000-0200-000092000000}">
      <text>
        <r>
          <rPr>
            <sz val="10"/>
            <rFont val="Arial"/>
            <family val="2"/>
          </rPr>
          <t>Source: FY2025 MDA (Killam Q4 12-31-2025 MDA-2.pdf), p.20
Total portfolio occupancy 96.9% (annual); Q4 96.6% (p.49)
Same-property 96.9% (p.18)</t>
        </r>
      </text>
    </comment>
    <comment ref="B20" authorId="0" shapeId="0" xr:uid="{00000000-0006-0000-0200-000006000000}">
      <text>
        <r>
          <rPr>
            <sz val="10"/>
            <rFont val="Arial"/>
            <family val="2"/>
          </rPr>
          <t>Source: FY2016 MD&amp;A (Killam Q4 12-31-2016-MDA), p.18
Avg monthly rent $973 total portfolio WA (Dec 31, 2016)
Same-property avg rent $958, up 1.6% from $943 (p.18)</t>
        </r>
      </text>
    </comment>
    <comment ref="C20" authorId="0" shapeId="0" xr:uid="{00000000-0006-0000-0200-000016000000}">
      <text>
        <r>
          <rPr>
            <sz val="10"/>
            <rFont val="Arial"/>
            <family val="2"/>
          </rPr>
          <t>Source: FY2017 AR (Killam.AR_.17-3.pdf), p.9 (MDA section)
Avg monthly rent $1,018 total portfolio WA (Dec 31, 2017)
Ref: p.1 — same-property avg rents by market</t>
        </r>
      </text>
    </comment>
    <comment ref="D20" authorId="0" shapeId="0" xr:uid="{00000000-0006-0000-0200-000026000000}">
      <text>
        <r>
          <rPr>
            <sz val="10"/>
            <rFont val="Arial"/>
            <family val="2"/>
          </rPr>
          <t>Source: FY2018 MDA (Killam Q4 12-31-2018-MDA - FINAL-3.pdf), p.18
Avg monthly rent $1,076 total portfolio (Dec 31, 2018)</t>
        </r>
      </text>
    </comment>
    <comment ref="E20" authorId="0" shapeId="0" xr:uid="{00000000-0006-0000-0200-000036000000}">
      <text>
        <r>
          <rPr>
            <sz val="10"/>
            <rFont val="Arial"/>
            <family val="2"/>
          </rPr>
          <t>Source: FY2019 MDA (Killam Q4 12-31-2019 MDA FINAL-3.pdf), p.20
Avg monthly rent: model shows $1,126
Ref: FY2019 MDA (Killam Q4 12-31-2019 MDA FINAL-3.pdf), p.20 — same-property avg $1,079; total portfolio $1,130 (Dec 31, 2019)</t>
        </r>
      </text>
    </comment>
    <comment ref="F20" authorId="0" shapeId="0" xr:uid="{00000000-0006-0000-0200-000046000000}">
      <text>
        <r>
          <rPr>
            <sz val="10"/>
            <rFont val="Arial"/>
            <family val="2"/>
          </rPr>
          <t>Source: FY2020 MDA (Killam Q4 12-31-2020 MDA for Release-4.pdf), p.21
Avg monthly rent $1,184 total portfolio (Dec 31, 2020)
Same-property avg $1,150</t>
        </r>
      </text>
    </comment>
    <comment ref="G20" authorId="0" shapeId="0" xr:uid="{00000000-0006-0000-0200-000056000000}">
      <text>
        <r>
          <rPr>
            <sz val="10"/>
            <rFont val="Arial"/>
            <family val="2"/>
          </rPr>
          <t>Source: FY2021 MDA (KillamQ42021 MDA-3.pdf), p.20
Avg monthly rent $1,227 total portfolio (Dec 31, 2021)
Same-property avg $1,199</t>
        </r>
      </text>
    </comment>
    <comment ref="H20" authorId="0" shapeId="0" xr:uid="{00000000-0006-0000-0200-000066000000}">
      <text>
        <r>
          <rPr>
            <sz val="10"/>
            <rFont val="Arial"/>
            <family val="2"/>
          </rPr>
          <t>Source: FY2022 MDA (KMP.UN - MDA Q4 12-31-2022-2.pdf), p.21
Avg monthly rent $1,289 total portfolio (Dec 31, 2022)
Same-property avg $1,264</t>
        </r>
      </text>
    </comment>
    <comment ref="I20" authorId="0" shapeId="0" xr:uid="{00000000-0006-0000-0200-000076000000}">
      <text>
        <r>
          <rPr>
            <sz val="10"/>
            <rFont val="Arial"/>
            <family val="2"/>
          </rPr>
          <t>Source: FY2023 MDA (Killam Q4 12-31-2023 MDA-2.pdf), p.21
Avg monthly rent $1,384 total portfolio (Dec 31, 2023)
Same-property avg $1,352</t>
        </r>
      </text>
    </comment>
    <comment ref="J20" authorId="0" shapeId="0" xr:uid="{00000000-0006-0000-0200-000083000000}">
      <text>
        <r>
          <rPr>
            <sz val="10"/>
            <rFont val="Arial"/>
            <family val="2"/>
          </rPr>
          <t>Source: FY2024 MDA (Killam Q4 12-31-2024 MDA - Final-4.pdf), p.21
Avg monthly rent $1,493 total portfolio (Dec 31, 2024)
7.9% growth YoY</t>
        </r>
      </text>
    </comment>
    <comment ref="K20" authorId="0" shapeId="0" xr:uid="{00000000-0006-0000-0200-000093000000}">
      <text>
        <r>
          <rPr>
            <sz val="10"/>
            <rFont val="Arial"/>
            <family val="2"/>
          </rPr>
          <t>Source: FY2025 MDA (Killam Q4 12-31-2025 MDA-2.pdf), p.21
Avg monthly rent $1,600 total portfolio (Dec 31, 2025)
Blended increase 4.5% Q4-2025 (p.50)</t>
        </r>
      </text>
    </comment>
    <comment ref="B25" authorId="0" shapeId="0" xr:uid="{00000000-0006-0000-0200-000007000000}">
      <text>
        <r>
          <rPr>
            <sz val="10"/>
            <rFont val="Arial"/>
            <family val="2"/>
          </rPr>
          <t>Source: FY2016 MDA — NOT DISCLOSED
Turnover rate not reported in FY2016 extraction</t>
        </r>
      </text>
    </comment>
    <comment ref="C25" authorId="0" shapeId="0" xr:uid="{00000000-0006-0000-0200-000017000000}">
      <text>
        <r>
          <rPr>
            <sz val="10"/>
            <rFont val="Arial"/>
            <family val="2"/>
          </rPr>
          <t>Source: FY2017 AR (Killam.AR_.17-3.pdf), p.1
~35% annual apartment turnover
Confirmed by FY2018 MDA prior-year comparator (p.18): 35%</t>
        </r>
      </text>
    </comment>
    <comment ref="D25" authorId="0" shapeId="0" xr:uid="{00000000-0006-0000-0200-000027000000}">
      <text>
        <r>
          <rPr>
            <sz val="10"/>
            <rFont val="Arial"/>
            <family val="2"/>
          </rPr>
          <t>Source: FY2018 MDA (Killam Q4 12-31-2018-MDA - FINAL-3.pdf), p.18
Turnover 32% FY2018 (down from 35% FY2017)</t>
        </r>
      </text>
    </comment>
    <comment ref="E25" authorId="0" shapeId="0" xr:uid="{00000000-0006-0000-0200-000037000000}">
      <text>
        <r>
          <rPr>
            <sz val="10"/>
            <rFont val="Arial"/>
            <family val="2"/>
          </rPr>
          <t>Source: Derived from FY2020 MDA (p.21)
FY2020 MDA states turnover was 29% in 2020, 'down 160 bps from 2019'
29% + 1.6% = ~30.6%, rounded to 31%
FY2019 MDA itself says 'approximately 30-35%' (p.21) — imprecise</t>
        </r>
      </text>
    </comment>
    <comment ref="F25" authorId="0" shapeId="0" xr:uid="{00000000-0006-0000-0200-000047000000}">
      <text>
        <r>
          <rPr>
            <sz val="10"/>
            <rFont val="Arial"/>
            <family val="2"/>
          </rPr>
          <t>Source: FY2020 MDA (Killam Q4 12-31-2020 MDA for Release-4.pdf), p.21
Turnover ~29% FY2020, down 160 bps from FY2019</t>
        </r>
      </text>
    </comment>
    <comment ref="G25" authorId="0" shapeId="0" xr:uid="{00000000-0006-0000-0200-000057000000}">
      <text>
        <r>
          <rPr>
            <sz val="10"/>
            <rFont val="Arial"/>
            <family val="2"/>
          </rPr>
          <t>Source: FY2021 MDA (KillamQ42021 MDA-3.pdf), p.20
Turnover ~26% FY2021, down from ~29% FY2020</t>
        </r>
      </text>
    </comment>
    <comment ref="H25" authorId="0" shapeId="0" xr:uid="{00000000-0006-0000-0200-000067000000}">
      <text>
        <r>
          <rPr>
            <sz val="10"/>
            <rFont val="Arial"/>
            <family val="2"/>
          </rPr>
          <t>Source: FY2022 MDA (KMP.UN - MDA Q4 12-31-2022-2.pdf), p.21
Turnover 22% FY2022, down from 26% FY2021</t>
        </r>
      </text>
    </comment>
    <comment ref="I25" authorId="0" shapeId="0" xr:uid="{00000000-0006-0000-0200-000077000000}">
      <text>
        <r>
          <rPr>
            <sz val="10"/>
            <rFont val="Arial"/>
            <family val="2"/>
          </rPr>
          <t>Source: FY2023 MDA (Killam Q4 12-31-2023 MDA-2.pdf), p.21
Turnover 19% FY2023, down from 22% FY2022
Note: FY2024 MDA comparator shows 18.6% — slight restatement</t>
        </r>
      </text>
    </comment>
    <comment ref="J25" authorId="0" shapeId="0" xr:uid="{00000000-0006-0000-0200-000084000000}">
      <text>
        <r>
          <rPr>
            <sz val="10"/>
            <rFont val="Arial"/>
            <family val="2"/>
          </rPr>
          <t>Source: FY2024 MDA (Killam Q4 12-31-2024 MDA - Final-4.pdf), p.21
Turnover 18.3% FY2024 — historic low in series</t>
        </r>
      </text>
    </comment>
    <comment ref="K25" authorId="0" shapeId="0" xr:uid="{00000000-0006-0000-0200-000094000000}">
      <text>
        <r>
          <rPr>
            <sz val="10"/>
            <rFont val="Arial"/>
            <family val="2"/>
          </rPr>
          <t>Source: FY2025 MDA (Killam Q4 12-31-2025 MDA-2.pdf), p.7 &amp; p.21
Turnover 21.6% FY2025, up from 18.3% FY2024
First increase in turnover since FY2016</t>
        </r>
      </text>
    </comment>
    <comment ref="B28" authorId="0" shapeId="0" xr:uid="{00000000-0006-0000-0200-000008000000}">
      <text>
        <r>
          <rPr>
            <sz val="10"/>
            <rFont val="Arial"/>
            <family val="2"/>
          </rPr>
          <t>Source: FY2016 MD&amp;A (Killam Q4 12-31-2016-MDA), p.17 &amp; p.12
Apartment NOI: p.17 shows total apt NOI $94,389K; p.12 shows $94,388K
Model uses $93,427K — likely nets out 50% JV share adjustment</t>
        </r>
      </text>
    </comment>
    <comment ref="C28" authorId="0" shapeId="0" xr:uid="{00000000-0006-0000-0200-000018000000}">
      <text>
        <r>
          <rPr>
            <sz val="10"/>
            <rFont val="Arial"/>
            <family val="2"/>
          </rPr>
          <t>Source: FY2017 AR (Killam.AR_.17-3.pdf), p.77 (IS) / p.35 (MDA section)
Apartment NOI $103,951K FY2017
Ref: IS shows total NOI $115,220K; segment allocation from MDA section</t>
        </r>
      </text>
    </comment>
    <comment ref="D28" authorId="0" shapeId="0" xr:uid="{00000000-0006-0000-0200-000028000000}">
      <text>
        <r>
          <rPr>
            <sz val="10"/>
            <rFont val="Arial"/>
            <family val="2"/>
          </rPr>
          <t>Source: FY2018 FS (Killam Q4 12-31-2018-FS Final-3.pdf), p.28 (Note 21 — Segmented Information)
Apartment NOI $120,671K FY2018, $103,951K FY2017</t>
        </r>
      </text>
    </comment>
    <comment ref="E28" authorId="0" shapeId="0" xr:uid="{00000000-0006-0000-0200-000038000000}">
      <text>
        <r>
          <rPr>
            <sz val="10"/>
            <rFont val="Arial"/>
            <family val="2"/>
          </rPr>
          <t>Source: FY2019 MDA (Killam Q4 12-31-2019 MDA FINAL-3.pdf), p.19 (segment tables)
Apartment NOI $130,464K FY2019
Ref: FS segment note (p.29) — not captured in FS extraction but present in actual FS</t>
        </r>
      </text>
    </comment>
    <comment ref="F28" authorId="0" shapeId="0" xr:uid="{00000000-0006-0000-0200-000048000000}">
      <text>
        <r>
          <rPr>
            <sz val="10"/>
            <rFont val="Arial"/>
            <family val="2"/>
          </rPr>
          <t>Source: FY2020 MDA (Killam Q4 12-31-2020 MDA for Release-4.pdf), p.19 (segment tables)
Apartment NOI $146,148K FY2020
Ref: FY2020 FS (Killam Q4 12-31-2020 FS for Release-4.pdf), pp.26-27 (segment reporting)</t>
        </r>
      </text>
    </comment>
    <comment ref="G28" authorId="0" shapeId="0" xr:uid="{00000000-0006-0000-0200-000058000000}">
      <text>
        <r>
          <rPr>
            <sz val="10"/>
            <rFont val="Arial"/>
            <family val="2"/>
          </rPr>
          <t>Source: FY2021 MDA (KillamQ42021 MDA-3.pdf), p.18 (segment tables)
Apartment NOI $164,038K FY2021
Ref: FY2021 FS (KillamQ42021FS-3.pdf), pp.26-27 (segment note) — extraction didn't capture FS segment</t>
        </r>
      </text>
    </comment>
    <comment ref="H28" authorId="0" shapeId="0" xr:uid="{00000000-0006-0000-0200-000068000000}">
      <text>
        <r>
          <rPr>
            <sz val="10"/>
            <rFont val="Arial"/>
            <family val="2"/>
          </rPr>
          <t>Source: FY2022 MDA (KMP.UN - MDA Q4 12-31-2022-2.pdf), p.19
Apartment NOI $183,425K FY2022</t>
        </r>
      </text>
    </comment>
    <comment ref="I28" authorId="0" shapeId="0" xr:uid="{00000000-0006-0000-0200-000078000000}">
      <text>
        <r>
          <rPr>
            <sz val="10"/>
            <rFont val="Arial"/>
            <family val="2"/>
          </rPr>
          <t>Source: FY2023 MDA (Killam Q4 12-31-2023 MDA-2.pdf), p.18
Apartment NOI $198,277K FY2023</t>
        </r>
      </text>
    </comment>
    <comment ref="J28" authorId="0" shapeId="0" xr:uid="{00000000-0006-0000-0200-000085000000}">
      <text>
        <r>
          <rPr>
            <sz val="10"/>
            <rFont val="Arial"/>
            <family val="2"/>
          </rPr>
          <t>Source: FY2024 MDA (Killam Q4 12-31-2024 MDA - Final-4.pdf), p.19 (segment)
Apartment NOI $213,267K FY2024</t>
        </r>
      </text>
    </comment>
    <comment ref="K28" authorId="0" shapeId="0" xr:uid="{00000000-0006-0000-0200-000095000000}">
      <text>
        <r>
          <rPr>
            <sz val="10"/>
            <rFont val="Arial"/>
            <family val="2"/>
          </rPr>
          <t>Source: FY2025 FS (Killam Q4 12-31-2025 FS-3.pdf), p.27 (Segment Note)
Apartment NOI $226,088K FY2025
Segment note is audited — primary source for segment data</t>
        </r>
      </text>
    </comment>
    <comment ref="B29" authorId="0" shapeId="0" xr:uid="{00000000-0006-0000-0200-000009000000}">
      <text>
        <r>
          <rPr>
            <sz val="10"/>
            <rFont val="Arial"/>
            <family val="2"/>
          </rPr>
          <t>Source: FY2016 MD&amp;A (Killam Q4 12-31-2016-MDA), p.21
MHC NOI: p.21 shows $8,987K total; p.12 shows $8,986K
Model uses $8,879K — may reflect segment reporting adjustment</t>
        </r>
      </text>
    </comment>
    <comment ref="C29" authorId="0" shapeId="0" xr:uid="{00000000-0006-0000-0200-000019000000}">
      <text>
        <r>
          <rPr>
            <sz val="10"/>
            <rFont val="Arial"/>
            <family val="2"/>
          </rPr>
          <t>Source: FY2017 AR (Killam.AR_.17-3.pdf), p.35 (MDA section) / segment reporting
MHC NOI $9,377K FY2017</t>
        </r>
      </text>
    </comment>
    <comment ref="D29" authorId="0" shapeId="0" xr:uid="{00000000-0006-0000-0200-000029000000}">
      <text>
        <r>
          <rPr>
            <sz val="10"/>
            <rFont val="Arial"/>
            <family val="2"/>
          </rPr>
          <t>Source: FY2018 FS (Killam Q4 12-31-2018-FS Final-3.pdf), p.28 (Note 21 — Segmented Information)
MHC NOI $9,755K FY2018, $9,377K FY2017</t>
        </r>
      </text>
    </comment>
    <comment ref="E29" authorId="0" shapeId="0" xr:uid="{00000000-0006-0000-0200-000039000000}">
      <text>
        <r>
          <rPr>
            <sz val="10"/>
            <rFont val="Arial"/>
            <family val="2"/>
          </rPr>
          <t>Source: FY2019 MDA (Killam Q4 12-31-2019 MDA FINAL-3.pdf), p.24 (segment tables)
MHC NOI $11,408K FY2019</t>
        </r>
      </text>
    </comment>
    <comment ref="F29" authorId="0" shapeId="0" xr:uid="{00000000-0006-0000-0200-000049000000}">
      <text>
        <r>
          <rPr>
            <sz val="10"/>
            <rFont val="Arial"/>
            <family val="2"/>
          </rPr>
          <t>Source: FY2020 MDA (Killam Q4 12-31-2020 MDA for Release-4.pdf), p.26
MHC NOI $10,852K FY2020</t>
        </r>
      </text>
    </comment>
    <comment ref="G29" authorId="0" shapeId="0" xr:uid="{00000000-0006-0000-0200-000059000000}">
      <text>
        <r>
          <rPr>
            <sz val="10"/>
            <rFont val="Arial"/>
            <family val="2"/>
          </rPr>
          <t>Source: FY2021 MDA (KillamQ42021 MDA-3.pdf), p.24
MHC NOI $9,861K FY2021</t>
        </r>
      </text>
    </comment>
    <comment ref="H29" authorId="0" shapeId="0" xr:uid="{00000000-0006-0000-0200-000069000000}">
      <text>
        <r>
          <rPr>
            <sz val="10"/>
            <rFont val="Arial"/>
            <family val="2"/>
          </rPr>
          <t>Source: FY2022 MDA (KMP.UN - MDA Q4 12-31-2022-2.pdf), p.25
MHC NOI $12,620K FY2022</t>
        </r>
      </text>
    </comment>
    <comment ref="I29" authorId="0" shapeId="0" xr:uid="{00000000-0006-0000-0200-000079000000}">
      <text>
        <r>
          <rPr>
            <sz val="10"/>
            <rFont val="Arial"/>
            <family val="2"/>
          </rPr>
          <t>Source: FY2023 MDA (Killam Q4 12-31-2023 MDA-2.pdf)
MHC NOI $12,939K FY2023</t>
        </r>
      </text>
    </comment>
    <comment ref="J29" authorId="0" shapeId="0" xr:uid="{00000000-0006-0000-0200-000086000000}">
      <text>
        <r>
          <rPr>
            <sz val="10"/>
            <rFont val="Arial"/>
            <family val="2"/>
          </rPr>
          <t>Source: FY2024 MDA (Killam Q4 12-31-2024 MDA - Final-4.pdf), p.25
MHC NOI $13,905K FY2024</t>
        </r>
      </text>
    </comment>
    <comment ref="K29" authorId="0" shapeId="0" xr:uid="{00000000-0006-0000-0200-000096000000}">
      <text>
        <r>
          <rPr>
            <sz val="10"/>
            <rFont val="Arial"/>
            <family val="2"/>
          </rPr>
          <t>Source: FY2025 FS (Killam Q4 12-31-2025 FS-3.pdf), p.27 (Segment Note)
MHC NOI $15,053K FY2025</t>
        </r>
      </text>
    </comment>
    <comment ref="B30" authorId="0" shapeId="0" xr:uid="{00000000-0006-0000-0200-00000A000000}">
      <text>
        <r>
          <rPr>
            <sz val="10"/>
            <rFont val="Arial"/>
            <family val="2"/>
          </rPr>
          <t>Source: FY2016 MD&amp;A (Killam Q4 12-31-2016-MDA), p.12
Commercial NOI: p.12 shows $2,050K (Halifax properties only)
Model uses $3,118K — includes ancillary commercial in apartment properties (118,000 SF, p.21)</t>
        </r>
      </text>
    </comment>
    <comment ref="C30" authorId="0" shapeId="0" xr:uid="{00000000-0006-0000-0200-00001A000000}">
      <text>
        <r>
          <rPr>
            <sz val="10"/>
            <rFont val="Arial"/>
            <family val="2"/>
          </rPr>
          <t>Source: Derived
Commercial NOI $1,892K FY2017 = total $115,220 - apt $103,951 - MHC $9,377</t>
        </r>
      </text>
    </comment>
    <comment ref="D30" authorId="0" shapeId="0" xr:uid="{00000000-0006-0000-0200-00002A000000}">
      <text>
        <r>
          <rPr>
            <sz val="10"/>
            <rFont val="Arial"/>
            <family val="2"/>
          </rPr>
          <t>Source: FY2018 FS (Killam Q4 12-31-2018-FS Final-3.pdf), p.28 (Note 21 — Segmented Information)
Other/Commercial NOI $5,286K FY2018, $1,892K FY2017</t>
        </r>
      </text>
    </comment>
    <comment ref="E30" authorId="0" shapeId="0" xr:uid="{00000000-0006-0000-0200-00003A000000}">
      <text>
        <r>
          <rPr>
            <sz val="10"/>
            <rFont val="Arial"/>
            <family val="2"/>
          </rPr>
          <t>Source: Derived
Commercial NOI $10,464K = total $152,336 - apt $130,464 - MHC $11,408</t>
        </r>
      </text>
    </comment>
    <comment ref="F30" authorId="0" shapeId="0" xr:uid="{00000000-0006-0000-0200-00004A000000}">
      <text>
        <r>
          <rPr>
            <sz val="10"/>
            <rFont val="Arial"/>
            <family val="2"/>
          </rPr>
          <t>Source: Derived
Commercial NOI $7,662K = total $164,662 - apt $146,148 - MHC $10,852</t>
        </r>
      </text>
    </comment>
    <comment ref="G30" authorId="0" shapeId="0" xr:uid="{00000000-0006-0000-0200-00005A000000}">
      <text>
        <r>
          <rPr>
            <sz val="10"/>
            <rFont val="Arial"/>
            <family val="2"/>
          </rPr>
          <t>Source: Derived
Commercial NOI $9,336K = total $183,235 - apt $164,038 - MHC $9,861</t>
        </r>
      </text>
    </comment>
    <comment ref="H30" authorId="0" shapeId="0" xr:uid="{00000000-0006-0000-0200-00006A000000}">
      <text>
        <r>
          <rPr>
            <sz val="10"/>
            <rFont val="Arial"/>
            <family val="2"/>
          </rPr>
          <t>Source: Derived
Commercial NOI $10,867K = total $206,912 - apt $183,425 - MHC $12,620</t>
        </r>
      </text>
    </comment>
    <comment ref="I30" authorId="0" shapeId="0" xr:uid="{00000000-0006-0000-0200-00007A000000}">
      <text>
        <r>
          <rPr>
            <sz val="10"/>
            <rFont val="Arial"/>
            <family val="2"/>
          </rPr>
          <t>Source: Derived
Commercial NOI $12,827K = total $224,043 - apt $198,277 - MHC $12,939</t>
        </r>
      </text>
    </comment>
    <comment ref="J30" authorId="0" shapeId="0" xr:uid="{00000000-0006-0000-0200-000087000000}">
      <text>
        <r>
          <rPr>
            <sz val="10"/>
            <rFont val="Arial"/>
            <family val="2"/>
          </rPr>
          <t>Source: Derived
Commercial NOI $13,309K = total $240,481 - apt $213,267 - MHC $13,905</t>
        </r>
      </text>
    </comment>
    <comment ref="K30" authorId="0" shapeId="0" xr:uid="{00000000-0006-0000-0200-000097000000}">
      <text>
        <r>
          <rPr>
            <sz val="10"/>
            <rFont val="Arial"/>
            <family val="2"/>
          </rPr>
          <t>Source: FY2025 FS (Killam Q4 12-31-2025 FS-3.pdf), p.27 (Segment Note)
Commercial NOI $13,687K FY2025</t>
        </r>
      </text>
    </comment>
    <comment ref="B35" authorId="0" shapeId="0" xr:uid="{00000000-0006-0000-0200-00000B000000}">
      <text>
        <r>
          <rPr>
            <sz val="10"/>
            <rFont val="Arial"/>
            <family val="2"/>
          </rPr>
          <t>Source: FY2016 FS (Killam Q4 12-31-2016-FS), p.27 (Segment Reporting note)
Apartment revenue $155,839K FY2016
Three segments: Apartments, MHCs, Other</t>
        </r>
      </text>
    </comment>
    <comment ref="C35" authorId="0" shapeId="0" xr:uid="{00000000-0006-0000-0200-00001B000000}">
      <text>
        <r>
          <rPr>
            <sz val="10"/>
            <rFont val="Arial"/>
            <family val="2"/>
          </rPr>
          <t>Source: FY2018 FS (Killam Q4 12-31-2018-FS Final-3.pdf), p.28 (Note 21 — FY2017 comparator column)
Apartment revenue $167,718K FY2017
Note: FY2017 AR extraction did not separately disclose segment revenue; confirmed via FY2018 FS comparator</t>
        </r>
      </text>
    </comment>
    <comment ref="D35" authorId="0" shapeId="0" xr:uid="{00000000-0006-0000-0200-00002B000000}">
      <text>
        <r>
          <rPr>
            <sz val="10"/>
            <rFont val="Arial"/>
            <family val="2"/>
          </rPr>
          <t>Source: FY2018 FS (Killam Q4 12-31-2018-FS Final-3.pdf), p.28 (Note 21 — Segmented Information)
Apartment revenue $190,048K FY2018, $167,718K FY2017</t>
        </r>
      </text>
    </comment>
    <comment ref="E35" authorId="0" shapeId="0" xr:uid="{00000000-0006-0000-0200-00003B000000}">
      <text>
        <r>
          <rPr>
            <sz val="10"/>
            <rFont val="Arial"/>
            <family val="2"/>
          </rPr>
          <t>Source: FY2019 MDA (Killam Q4 12-31-2019 MDA FINAL-3.pdf), p.19
Apartment revenue $211,558K FY2019
Note: FY2019 MDA p.19 shows $211,143K; FY2020 MDA comparator shows $211,558K
Model uses $211,558K (restated figure from subsequent filing)</t>
        </r>
      </text>
    </comment>
    <comment ref="F35" authorId="0" shapeId="0" xr:uid="{00000000-0006-0000-0200-00004B000000}">
      <text>
        <r>
          <rPr>
            <sz val="10"/>
            <rFont val="Arial"/>
            <family val="2"/>
          </rPr>
          <t>Source: FY2020 MDA (Killam Q4 12-31-2020 MDA for Release-4.pdf), p.19
Apartment revenue $228,915K FY2020</t>
        </r>
      </text>
    </comment>
    <comment ref="G35" authorId="0" shapeId="0" xr:uid="{00000000-0006-0000-0200-00005B000000}">
      <text>
        <r>
          <rPr>
            <sz val="10"/>
            <rFont val="Arial"/>
            <family val="2"/>
          </rPr>
          <t>Source: FY2021 MDA (KillamQ42021 MDA-3.pdf), p.18
Apartment revenue $254,955K FY2021</t>
        </r>
      </text>
    </comment>
    <comment ref="H35" authorId="0" shapeId="0" xr:uid="{00000000-0006-0000-0200-00006B000000}">
      <text>
        <r>
          <rPr>
            <sz val="10"/>
            <rFont val="Arial"/>
            <family val="2"/>
          </rPr>
          <t>Source: FY2022 MDA (KMP.UN - MDA Q4 12-31-2022-2.pdf), p.19
Apartment revenue $289,790K FY2022</t>
        </r>
      </text>
    </comment>
    <comment ref="J35" authorId="0" shapeId="0" xr:uid="{00000000-0006-0000-0200-000088000000}">
      <text>
        <r>
          <rPr>
            <sz val="10"/>
            <rFont val="Arial"/>
            <family val="2"/>
          </rPr>
          <t>Source: FY2025 MDA comparator (p.19)
Apartment revenue $321,094K FY2024
Not separately disclosed in FY2024 MDA extraction</t>
        </r>
      </text>
    </comment>
    <comment ref="K35" authorId="0" shapeId="0" xr:uid="{00000000-0006-0000-0200-000098000000}">
      <text>
        <r>
          <rPr>
            <sz val="10"/>
            <rFont val="Arial"/>
            <family val="2"/>
          </rPr>
          <t>Source: FY2025 MDA (Killam Q4 12-31-2025 MDA-2.pdf), p.19
Apartment revenue $337,584K FY2025</t>
        </r>
      </text>
    </comment>
    <comment ref="B36" authorId="0" shapeId="0" xr:uid="{00000000-0006-0000-0200-00000C000000}">
      <text>
        <r>
          <rPr>
            <sz val="10"/>
            <rFont val="Arial"/>
            <family val="2"/>
          </rPr>
          <t>Source: FY2016 FS (Killam Q4 12-31-2016-FS), p.27 (Segment Reporting note)
MHC revenue $14,715K FY2016</t>
        </r>
      </text>
    </comment>
    <comment ref="C36" authorId="0" shapeId="0" xr:uid="{00000000-0006-0000-0200-00001C000000}">
      <text>
        <r>
          <rPr>
            <sz val="10"/>
            <rFont val="Arial"/>
            <family val="2"/>
          </rPr>
          <t>Source: FY2018 FS (Killam Q4 12-31-2018-FS Final-3.pdf), p.28 (Note 21 — FY2017 comparator column)
MHC revenue $15,139K FY2017</t>
        </r>
      </text>
    </comment>
    <comment ref="D36" authorId="0" shapeId="0" xr:uid="{00000000-0006-0000-0200-00002C000000}">
      <text>
        <r>
          <rPr>
            <sz val="10"/>
            <rFont val="Arial"/>
            <family val="2"/>
          </rPr>
          <t>Source: FY2018 FS (Killam Q4 12-31-2018-FS Final-3.pdf), p.28 (Note 21 — Segmented Information)
MHC revenue $15,850K FY2018, $15,139K FY2017</t>
        </r>
      </text>
    </comment>
    <comment ref="E36" authorId="0" shapeId="0" xr:uid="{00000000-0006-0000-0200-00003C000000}">
      <text>
        <r>
          <rPr>
            <sz val="10"/>
            <rFont val="Arial"/>
            <family val="2"/>
          </rPr>
          <t>Source: FY2019 MDA (Killam Q4 12-31-2019 MDA FINAL-3.pdf), p.24
MHC revenue $16,806K FY2019</t>
        </r>
      </text>
    </comment>
    <comment ref="F36" authorId="0" shapeId="0" xr:uid="{00000000-0006-0000-0200-00004C000000}">
      <text>
        <r>
          <rPr>
            <sz val="10"/>
            <rFont val="Arial"/>
            <family val="2"/>
          </rPr>
          <t>Source: FY2020 MDA (Killam Q4 12-31-2020 MDA for Release-4.pdf), p.26
MHC revenue $17,393K FY2020</t>
        </r>
      </text>
    </comment>
    <comment ref="G36" authorId="0" shapeId="0" xr:uid="{00000000-0006-0000-0200-00005C000000}">
      <text>
        <r>
          <rPr>
            <sz val="10"/>
            <rFont val="Arial"/>
            <family val="2"/>
          </rPr>
          <t>Source: FY2021 MDA (KillamQ42021 MDA-3.pdf), p.24
MHC revenue $18,578K FY2021</t>
        </r>
      </text>
    </comment>
    <comment ref="H36" authorId="0" shapeId="0" xr:uid="{00000000-0006-0000-0200-00006C000000}">
      <text>
        <r>
          <rPr>
            <sz val="10"/>
            <rFont val="Arial"/>
            <family val="2"/>
          </rPr>
          <t>Source: FY2022 MDA (KMP.UN - MDA Q4 12-31-2022-2.pdf), p.25
MHC revenue $19,790K FY2022</t>
        </r>
      </text>
    </comment>
    <comment ref="J36" authorId="0" shapeId="0" xr:uid="{00000000-0006-0000-0200-000089000000}">
      <text>
        <r>
          <rPr>
            <sz val="10"/>
            <rFont val="Arial"/>
            <family val="2"/>
          </rPr>
          <t>Source: FY2025 MDA comparator (p.25)
MHC revenue $21,410K FY2024</t>
        </r>
      </text>
    </comment>
    <comment ref="K36" authorId="0" shapeId="0" xr:uid="{00000000-0006-0000-0200-000099000000}">
      <text>
        <r>
          <rPr>
            <sz val="10"/>
            <rFont val="Arial"/>
            <family val="2"/>
          </rPr>
          <t>Source: FY2025 MDA (Killam Q4 12-31-2025 MDA-2.pdf), p.25
MHC revenue $22,766K FY2025</t>
        </r>
      </text>
    </comment>
    <comment ref="B37" authorId="0" shapeId="0" xr:uid="{00000000-0006-0000-0200-00000D000000}">
      <text>
        <r>
          <rPr>
            <sz val="10"/>
            <rFont val="Arial"/>
            <family val="2"/>
          </rPr>
          <t>Source: FY2016 FS (Killam Q4 12-31-2016-FS), p.27 (Segment Reporting note)
Other/Commercial revenue $4,715K FY2016</t>
        </r>
      </text>
    </comment>
    <comment ref="C37" authorId="0" shapeId="0" xr:uid="{00000000-0006-0000-0200-00001D000000}">
      <text>
        <r>
          <rPr>
            <sz val="10"/>
            <rFont val="Arial"/>
            <family val="2"/>
          </rPr>
          <t>Source: FY2018 FS (Killam Q4 12-31-2018-FS Final-3.pdf), p.28 (Note 21 — FY2017 comparator column)
Other/Commercial revenue $4,520K FY2017</t>
        </r>
      </text>
    </comment>
    <comment ref="D37" authorId="0" shapeId="0" xr:uid="{00000000-0006-0000-0200-00002D000000}">
      <text>
        <r>
          <rPr>
            <sz val="10"/>
            <rFont val="Arial"/>
            <family val="2"/>
          </rPr>
          <t>Source: FY2018 FS (Killam Q4 12-31-2018-FS Final-3.pdf), p.28 (Note 21 — Segmented Information)
Other/Commercial revenue $10,061K FY2018, $4,520K FY2017</t>
        </r>
      </text>
    </comment>
    <comment ref="E37" authorId="0" shapeId="0" xr:uid="{00000000-0006-0000-0200-00003D000000}">
      <text>
        <r>
          <rPr>
            <sz val="10"/>
            <rFont val="Arial"/>
            <family val="2"/>
          </rPr>
          <t>Source: FY2019 MDA (Killam Q4 12-31-2019 MDA FINAL-3.pdf), p.25
Commercial revenue $13,800K FY2019</t>
        </r>
      </text>
    </comment>
    <comment ref="F37" authorId="0" shapeId="0" xr:uid="{00000000-0006-0000-0200-00004D000000}">
      <text>
        <r>
          <rPr>
            <sz val="10"/>
            <rFont val="Arial"/>
            <family val="2"/>
          </rPr>
          <t>Source: FY2020 MDA (Killam Q4 12-31-2020 MDA for Release-4.pdf), p.27
Commercial revenue $15,382K FY2020</t>
        </r>
      </text>
    </comment>
    <comment ref="G37" authorId="0" shapeId="0" xr:uid="{00000000-0006-0000-0200-00005D000000}">
      <text>
        <r>
          <rPr>
            <sz val="10"/>
            <rFont val="Arial"/>
            <family val="2"/>
          </rPr>
          <t>Source: FY2021 MDA (KillamQ42021 MDA-3.pdf), p.25
Commercial revenue $17,384K FY2021</t>
        </r>
      </text>
    </comment>
    <comment ref="H37" authorId="0" shapeId="0" xr:uid="{00000000-0006-0000-0200-00006D000000}">
      <text>
        <r>
          <rPr>
            <sz val="10"/>
            <rFont val="Arial"/>
            <family val="2"/>
          </rPr>
          <t>Source: FY2022 MDA (KMP.UN - MDA Q4 12-31-2022-2.pdf), p.26
Commercial revenue $19,267K FY2022</t>
        </r>
      </text>
    </comment>
    <comment ref="J37" authorId="0" shapeId="0" xr:uid="{00000000-0006-0000-0200-00008A000000}">
      <text>
        <r>
          <rPr>
            <sz val="10"/>
            <rFont val="Arial"/>
            <family val="2"/>
          </rPr>
          <t>Source: FY2025 MDA comparator (p.26)
Commercial revenue $22,146K FY2024</t>
        </r>
      </text>
    </comment>
    <comment ref="K37" authorId="0" shapeId="0" xr:uid="{00000000-0006-0000-0200-00009A000000}">
      <text>
        <r>
          <rPr>
            <sz val="10"/>
            <rFont val="Arial"/>
            <family val="2"/>
          </rPr>
          <t>Source: FY2025 MDA (Killam Q4 12-31-2025 MDA-2.pdf), p.26
Commercial revenue $23,051K FY2025</t>
        </r>
      </text>
    </comment>
    <comment ref="B41" authorId="0" shapeId="0" xr:uid="{00000000-0006-0000-0200-00000E000000}">
      <text>
        <r>
          <rPr>
            <sz val="10"/>
            <rFont val="Arial"/>
            <family val="2"/>
          </rPr>
          <t>Source: FY2016 MD&amp;A (Killam Q4 12-31-2016-MDA), p.7 &amp; p.12
Apartment units 14,105 (Dec 31, 2016)
Includes 977 units (50% = 489) through JV (p.7)
181 properties (p.12)</t>
        </r>
      </text>
    </comment>
    <comment ref="C41" authorId="0" shapeId="0" xr:uid="{00000000-0006-0000-0200-00001E000000}">
      <text>
        <r>
          <rPr>
            <sz val="10"/>
            <rFont val="Arial"/>
            <family val="2"/>
          </rPr>
          <t>Source: FY2017 AR (Killam.AR_.17-3.pdf), p.9 &amp; p.35 (MDA section)
Apartment units 14,983 (Dec 31, 2017)
189 apartment properties (p.26)</t>
        </r>
      </text>
    </comment>
    <comment ref="D41" authorId="0" shapeId="0" xr:uid="{00000000-0006-0000-0200-00002E000000}">
      <text>
        <r>
          <rPr>
            <sz val="10"/>
            <rFont val="Arial"/>
            <family val="2"/>
          </rPr>
          <t>Source: FY2018 MDA (Killam Q4 12-31-2018-MDA - FINAL-3.pdf), p.11
Apartment units 15,883 (Dec 31, 2018)
Ref: FY2018 FS (Killam Q4 12-31-2018-FS Final-3.pdf), p.16-17 — 17,138 total portfolio units (apt + MHC)</t>
        </r>
      </text>
    </comment>
    <comment ref="E41" authorId="0" shapeId="0" xr:uid="{00000000-0006-0000-0200-00003E000000}">
      <text>
        <r>
          <rPr>
            <sz val="10"/>
            <rFont val="Arial"/>
            <family val="2"/>
          </rPr>
          <t>Source: FY2019 MDA (Killam Q4 12-31-2019 MDA FINAL-3.pdf), p.13
Apartment units 16,325 (Dec 31, 2019)
Ref: FY2019 FS (Killam Q4 12-31-2019 FS FINAL-3.pdf) — total units 102,017K outstanding</t>
        </r>
      </text>
    </comment>
    <comment ref="F41" authorId="0" shapeId="0" xr:uid="{00000000-0006-0000-0200-00004E000000}">
      <text>
        <r>
          <rPr>
            <sz val="10"/>
            <rFont val="Arial"/>
            <family val="2"/>
          </rPr>
          <t>Source: FY2020 MDA (Killam Q4 12-31-2020 MDA for Release-4.pdf), p.2 &amp; p.13
Apartment units 17,048 (Dec 31, 2020)</t>
        </r>
      </text>
    </comment>
    <comment ref="G41" authorId="0" shapeId="0" xr:uid="{00000000-0006-0000-0200-00005E000000}">
      <text>
        <r>
          <rPr>
            <sz val="10"/>
            <rFont val="Arial"/>
            <family val="2"/>
          </rPr>
          <t>Source: FY2021 MDA (KillamQ42021 MDA-3.pdf), p.2 &amp; p.13
Apartment units 18,685 (Dec 31, 2021)
221 apartment properties</t>
        </r>
      </text>
    </comment>
    <comment ref="H41" authorId="0" shapeId="0" xr:uid="{00000000-0006-0000-0200-00006E000000}">
      <text>
        <r>
          <rPr>
            <sz val="10"/>
            <rFont val="Arial"/>
            <family val="2"/>
          </rPr>
          <t>Source: FY2022 MDA (KMP.UN - MDA Q4 12-31-2022-2.pdf), p.13
Apartment units 19,527 (Dec 31, 2022)
5,975 MHC sites, 946,372 SF commercial</t>
        </r>
      </text>
    </comment>
    <comment ref="I41" authorId="0" shapeId="0" xr:uid="{00000000-0006-0000-0200-00007B000000}">
      <text>
        <r>
          <rPr>
            <sz val="10"/>
            <rFont val="Arial"/>
            <family val="2"/>
          </rPr>
          <t>Source: FY2023 MDA (Killam Q4 12-31-2023 MDA-2.pdf), p.2
Apartment units 18,835 (Dec 31, 2023)
Down from 19,527 — 1,122 units disposed</t>
        </r>
      </text>
    </comment>
    <comment ref="J41" authorId="0" shapeId="0" xr:uid="{00000000-0006-0000-0200-00008B000000}">
      <text>
        <r>
          <rPr>
            <sz val="10"/>
            <rFont val="Arial"/>
            <family val="2"/>
          </rPr>
          <t>Source: FY2024 MDA (Killam Q4 12-31-2024 MDA - Final-4.pdf), p.2 &amp; FY2025 MDA comparator (p.12, p.31)
Apartment units 18,100 (Dec 31, 2024)
Note: FY2024 MDA says 18,569 (p.2) but FY2025 MDA restates to 18,100 (p.31)
Model uses restated figure</t>
        </r>
      </text>
    </comment>
    <comment ref="K41" authorId="0" shapeId="0" xr:uid="{00000000-0006-0000-0200-00009B000000}">
      <text>
        <r>
          <rPr>
            <sz val="10"/>
            <rFont val="Arial"/>
            <family val="2"/>
          </rPr>
          <t>Source: FY2025 MDA (Killam Q4 12-31-2025 MDA-2.pdf), p.12 &amp; p.31
Apartment units 17,853 (Dec 31, 2025)
Down from 18,100 — continued dispositions</t>
        </r>
      </text>
    </comment>
    <comment ref="B42" authorId="0" shapeId="0" xr:uid="{00000000-0006-0000-0200-00000F000000}">
      <text>
        <r>
          <rPr>
            <sz val="10"/>
            <rFont val="Arial"/>
            <family val="2"/>
          </rPr>
          <t>Source: FY2016 MD&amp;A (Killam Q4 12-31-2016-MDA), p.7 &amp; p.12
MHC sites 5,165 (Dec 31, 2016)
35 communities (p.12)</t>
        </r>
      </text>
    </comment>
    <comment ref="C42" authorId="0" shapeId="0" xr:uid="{00000000-0006-0000-0200-00001F000000}">
      <text>
        <r>
          <rPr>
            <sz val="10"/>
            <rFont val="Arial"/>
            <family val="2"/>
          </rPr>
          <t>Source: FY2017 AR (Killam.AR_.17-3.pdf), p.35 (MDA section)
MHC sites: ~5,400 (estimated from segment data)</t>
        </r>
      </text>
    </comment>
    <comment ref="D42" authorId="0" shapeId="0" xr:uid="{00000000-0006-0000-0200-00002F000000}">
      <text>
        <r>
          <rPr>
            <sz val="10"/>
            <rFont val="Arial"/>
            <family val="2"/>
          </rPr>
          <t>Source: FY2018 MDA (Killam Q4 12-31-2018-MDA - FINAL-3.pdf), p.11
MHC sites 5,427 (Dec 31, 2018)</t>
        </r>
      </text>
    </comment>
    <comment ref="E42" authorId="0" shapeId="0" xr:uid="{00000000-0006-0000-0200-00003F000000}">
      <text>
        <r>
          <rPr>
            <sz val="10"/>
            <rFont val="Arial"/>
            <family val="2"/>
          </rPr>
          <t>Source: FY2019 MDA (Killam Q4 12-31-2019 MDA FINAL-3.pdf), p.5
MHC sites ~5,800 (Dec 31, 2019)</t>
        </r>
      </text>
    </comment>
    <comment ref="F42" authorId="0" shapeId="0" xr:uid="{00000000-0006-0000-0200-00004F000000}">
      <text>
        <r>
          <rPr>
            <sz val="10"/>
            <rFont val="Arial"/>
            <family val="2"/>
          </rPr>
          <t>Source: FY2020 MDA (Killam Q4 12-31-2020 MDA for Release-4.pdf), p.2 &amp; p.13
MHC sites 5,875 (Dec 31, 2020)</t>
        </r>
      </text>
    </comment>
    <comment ref="G42" authorId="0" shapeId="0" xr:uid="{00000000-0006-0000-0200-00005F000000}">
      <text>
        <r>
          <rPr>
            <sz val="10"/>
            <rFont val="Arial"/>
            <family val="2"/>
          </rPr>
          <t>Source: FY2021 MDA (KillamQ42021 MDA-3.pdf), p.2 &amp; p.13
MHC sites 5,875 (Dec 31, 2021)
39 communities</t>
        </r>
      </text>
    </comment>
    <comment ref="H42" authorId="0" shapeId="0" xr:uid="{00000000-0006-0000-0200-00006F000000}">
      <text>
        <r>
          <rPr>
            <sz val="10"/>
            <rFont val="Arial"/>
            <family val="2"/>
          </rPr>
          <t>Source: FY2022 MDA (KMP.UN - MDA Q4 12-31-2022-2.pdf), p.13
MHC sites 5,975 (Dec 31, 2022)</t>
        </r>
      </text>
    </comment>
    <comment ref="I42" authorId="0" shapeId="0" xr:uid="{00000000-0006-0000-0200-00007C000000}">
      <text>
        <r>
          <rPr>
            <sz val="10"/>
            <rFont val="Arial"/>
            <family val="2"/>
          </rPr>
          <t>Source: FY2023 MDA (Killam Q4 12-31-2023 MDA-2.pdf), p.2
MHC sites 5,975 (Dec 31, 2023)</t>
        </r>
      </text>
    </comment>
    <comment ref="J42" authorId="0" shapeId="0" xr:uid="{00000000-0006-0000-0200-00008C000000}">
      <text>
        <r>
          <rPr>
            <sz val="10"/>
            <rFont val="Arial"/>
            <family val="2"/>
          </rPr>
          <t>Source: FY2024 MDA (Killam Q4 12-31-2024 MDA - Final-4.pdf), p.2
MHC sites 5,975 (Dec 31, 2024)</t>
        </r>
      </text>
    </comment>
    <comment ref="K42" authorId="0" shapeId="0" xr:uid="{00000000-0006-0000-0200-00009C000000}">
      <text>
        <r>
          <rPr>
            <sz val="10"/>
            <rFont val="Arial"/>
            <family val="2"/>
          </rPr>
          <t>Source: FY2025 MDA (Killam Q4 12-31-2025 MDA-2.pdf), p.12
MHC sites 5,805 (Dec 31, 2025)
Note: model shows 5,750 — may use different count basis</t>
        </r>
      </text>
    </comment>
    <comment ref="K57" authorId="0" shapeId="0" xr:uid="{00000000-0006-0000-0200-00009D000000}">
      <text>
        <r>
          <rPr>
            <sz val="10"/>
            <rFont val="Arial"/>
            <family val="2"/>
          </rPr>
          <t>Source: FY2025 MDA (Killam Q4 12-31-2025 MDA-2.pdf), p.6
Apartment SS NOI growth 5.4% FY2025
Ref: Q4 2025 earnings call — CEO confirmed apartment SS NOI growth</t>
        </r>
      </text>
    </comment>
    <comment ref="B63" authorId="0" shapeId="0" xr:uid="{00000000-0006-0000-0200-000010000000}">
      <text>
        <r>
          <rPr>
            <sz val="10"/>
            <rFont val="Arial"/>
            <family val="2"/>
          </rPr>
          <t>Source: FY2016 MD&amp;A (Killam Q4 12-31-2016-MDA), p.5 &amp; p.35
WA mortgage interest rate 3.01% (Dec 31, 2016)
Down 26 bps from 3.27% (Dec 31, 2015)
Ref: FY2016 MD&amp;A (Killam Q4 12-31-2016-MDA), p.36 — Apt WA 2.94%, MHC WA 4.05%</t>
        </r>
      </text>
    </comment>
    <comment ref="C63" authorId="0" shapeId="0" xr:uid="{00000000-0006-0000-0200-000020000000}">
      <text>
        <r>
          <rPr>
            <sz val="10"/>
            <rFont val="Arial"/>
            <family val="2"/>
          </rPr>
          <t>Source: FY2017 AR (Killam.AR_.17-3.pdf), p.58 (MDA section)
WA mortgage interest rate 2.91% (Dec 31, 2017), was 3.01% (Dec 31, 2016)
Ref: p.58 — 4.0 years WA term to maturity</t>
        </r>
      </text>
    </comment>
    <comment ref="D63" authorId="0" shapeId="0" xr:uid="{00000000-0006-0000-0200-000030000000}">
      <text>
        <r>
          <rPr>
            <sz val="10"/>
            <rFont val="Arial"/>
            <family val="2"/>
          </rPr>
          <t>Source: FY2018 MDA (Killam Q4 12-31-2018-MDA - FINAL-3.pdf), p.36
WA mortgage interest rate 2.95% (Dec 31, 2018)
Ref: FY2018 FS (Killam Q4 12-31-2018-FS Final-3.pdf), p.21 — fixed rate 2.95%, variable 5.42%</t>
        </r>
      </text>
    </comment>
    <comment ref="E63" authorId="0" shapeId="0" xr:uid="{00000000-0006-0000-0200-000040000000}">
      <text>
        <r>
          <rPr>
            <sz val="10"/>
            <rFont val="Arial"/>
            <family val="2"/>
          </rPr>
          <t>Source: FY2019 MDA (Killam Q4 12-31-2019 MDA FINAL-3.pdf), p.40
WA mortgage interest rate 2.90% (Dec 31, 2019)</t>
        </r>
      </text>
    </comment>
    <comment ref="F63" authorId="0" shapeId="0" xr:uid="{00000000-0006-0000-0200-000050000000}">
      <text>
        <r>
          <rPr>
            <sz val="10"/>
            <rFont val="Arial"/>
            <family val="2"/>
          </rPr>
          <t>Source: FY2020 MDA (Killam Q4 12-31-2020 MDA for Release-4.pdf), p.5
WA mortgage interest rate 2.69% (Dec 31, 2020)</t>
        </r>
      </text>
    </comment>
    <comment ref="G63" authorId="0" shapeId="0" xr:uid="{00000000-0006-0000-0200-000060000000}">
      <text>
        <r>
          <rPr>
            <sz val="10"/>
            <rFont val="Arial"/>
            <family val="2"/>
          </rPr>
          <t>Source: FY2021 MDA (KillamQ42021 MDA-3.pdf), p.6
WA mortgage interest rate 2.58% (Dec 31, 2021)
Down from 2.69% at Dec 31, 2020
Ref: FY2021 FS (KillamQ42021FS-3.pdf), p.20 — fixed 2.58%, variable 2.37%</t>
        </r>
      </text>
    </comment>
    <comment ref="H63" authorId="0" shapeId="0" xr:uid="{00000000-0006-0000-0200-000070000000}">
      <text>
        <r>
          <rPr>
            <sz val="10"/>
            <rFont val="Arial"/>
            <family val="2"/>
          </rPr>
          <t>Source: FY2022 MDA (KMP.UN - MDA Q4 12-31-2022-2.pdf), p.34
WA mortgage interest rate 2.74% (Dec 31, 2022)</t>
        </r>
      </text>
    </comment>
    <comment ref="I63" authorId="0" shapeId="0" xr:uid="{00000000-0006-0000-0200-00007D000000}">
      <text>
        <r>
          <rPr>
            <sz val="10"/>
            <rFont val="Arial"/>
            <family val="2"/>
          </rPr>
          <t>Source: FY2023 MDA (Killam Q4 12-31-2023 MDA-2.pdf), p.6
WA mortgage interest rate 3.22% (Dec 31, 2023)</t>
        </r>
      </text>
    </comment>
    <comment ref="J63" authorId="0" shapeId="0" xr:uid="{00000000-0006-0000-0200-00008D000000}">
      <text>
        <r>
          <rPr>
            <sz val="10"/>
            <rFont val="Arial"/>
            <family val="2"/>
          </rPr>
          <t>Source: FY2024 MDA (Killam Q4 12-31-2024 MDA - Final-4.pdf), p.6
WA mortgage interest rate 3.45% (Dec 31, 2024)</t>
        </r>
      </text>
    </comment>
    <comment ref="K63" authorId="0" shapeId="0" xr:uid="{00000000-0006-0000-0200-00009E000000}">
      <text>
        <r>
          <rPr>
            <sz val="10"/>
            <rFont val="Arial"/>
            <family val="2"/>
          </rPr>
          <t>Source: FY2025 MDA (Killam Q4 12-31-2025 MDA-2.pdf), p.6
WA mortgage interest rate 3.58% (Dec 31, 2025)</t>
        </r>
      </text>
    </comment>
    <comment ref="K78" authorId="0" shapeId="0" xr:uid="{00000000-0006-0000-0200-00009F000000}">
      <text>
        <r>
          <rPr>
            <sz val="10"/>
            <rFont val="Arial"/>
            <family val="2"/>
          </rPr>
          <t>Source: FY2025 MDA (Killam Q4 12-31-2025 MDA-2.pdf), p.18 (geographic NOI tables)
Halifax 28.2% of total portfolio NOI FY2025</t>
        </r>
      </text>
    </comment>
    <comment ref="K79" authorId="0" shapeId="0" xr:uid="{00000000-0006-0000-0200-0000A0000000}">
      <text>
        <r>
          <rPr>
            <sz val="10"/>
            <rFont val="Arial"/>
            <family val="2"/>
          </rPr>
          <t>Source: FY2025 MDA (Killam Q4 12-31-2025 MDA-2.pdf), p.18
Ontario 21.4% of total portfolio NOI FY2025</t>
        </r>
      </text>
    </comment>
    <comment ref="K80" authorId="0" shapeId="0" xr:uid="{00000000-0006-0000-0200-0000A1000000}">
      <text>
        <r>
          <rPr>
            <sz val="10"/>
            <rFont val="Arial"/>
            <family val="2"/>
          </rPr>
          <t>Source: FY2025 MDA (Killam Q4 12-31-2025 MDA-2.pdf), p.18
New Brunswick 19.8% of total portfolio NOI FY2025</t>
        </r>
      </text>
    </comment>
    <comment ref="K81" authorId="0" shapeId="0" xr:uid="{00000000-0006-0000-0200-0000A2000000}">
      <text>
        <r>
          <rPr>
            <sz val="10"/>
            <rFont val="Arial"/>
            <family val="2"/>
          </rPr>
          <t>Source: FY2025 MDA (Killam Q4 12-31-2025 MDA-2.pdf), p.18
Alberta 10.3% of total portfolio NOI FY2025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300-000001000000}">
      <text>
        <r>
          <rPr>
            <sz val="10"/>
            <rFont val="Arial"/>
            <family val="2"/>
          </rPr>
          <t>Source: FY2016 FS (Killam Q4 12-31-2016-FS), p.5
Total property revenue $175,269K FY2016, $166,614K FY2015</t>
        </r>
      </text>
    </comment>
    <comment ref="C8" authorId="0" shapeId="0" xr:uid="{00000000-0006-0000-0300-00001E000000}">
      <text>
        <r>
          <rPr>
            <sz val="10"/>
            <rFont val="Arial"/>
            <family val="2"/>
          </rPr>
          <t>Source: FY2017 AR (Killam.AR_.17-3.pdf), p.77 (IS)
Total property revenue $187,377K FY2017, $175,269K FY2016</t>
        </r>
      </text>
    </comment>
    <comment ref="D8" authorId="0" shapeId="0" xr:uid="{00000000-0006-0000-0300-00003C000000}">
      <text>
        <r>
          <rPr>
            <sz val="10"/>
            <rFont val="Arial"/>
            <family val="2"/>
          </rPr>
          <t>Source: FY2018 FS (Killam Q4 12-31-2018-FS Final-3.pdf), p.7 (IS)
Total property revenue $215,959K FY2018, $187,377K FY2017</t>
        </r>
      </text>
    </comment>
    <comment ref="E8" authorId="0" shapeId="0" xr:uid="{00000000-0006-0000-0300-00005A000000}">
      <text>
        <r>
          <rPr>
            <sz val="10"/>
            <rFont val="Arial"/>
            <family val="2"/>
          </rPr>
          <t>Source: FY2019 FS (Killam Q4 12-31-2019 FS FINAL-3.pdf), p.7 (IS)
Total property revenue $241,749K FY2019, $215,959K FY2018</t>
        </r>
      </text>
    </comment>
    <comment ref="F8" authorId="0" shapeId="0" xr:uid="{00000000-0006-0000-0300-000078000000}">
      <text>
        <r>
          <rPr>
            <sz val="10"/>
            <rFont val="Arial"/>
            <family val="2"/>
          </rPr>
          <t>Source: FY2020 FS (Killam Q4 12-31-2020 FS for Release-4.pdf), p.8 (IS)
Total property revenue $261,690K FY2020, $242,164K FY2019 restated
Note: FY2019 comparator restated from $241,749 to $242,164 — likely IFRS 16 or reclassification</t>
        </r>
      </text>
    </comment>
    <comment ref="G8" authorId="0" shapeId="0" xr:uid="{00000000-0006-0000-0300-000095000000}">
      <text>
        <r>
          <rPr>
            <sz val="10"/>
            <rFont val="Arial"/>
            <family val="2"/>
          </rPr>
          <t>Source: FY2021 FS (KillamQ42021FS-3.pdf), p.2 (IS)
Total property revenue $290,917K FY2021, $261,690K FY2020</t>
        </r>
      </text>
    </comment>
    <comment ref="H8" authorId="0" shapeId="0" xr:uid="{00000000-0006-0000-0300-0000B2000000}">
      <text>
        <r>
          <rPr>
            <sz val="10"/>
            <rFont val="Arial"/>
            <family val="2"/>
          </rPr>
          <t>Source: FY2022 FS (KMP.UN - FS Q4 12-31-2022-2.pdf), p.8 (IS)
Total property revenue $328,847K FY2022, $290,917K FY2021</t>
        </r>
      </text>
    </comment>
    <comment ref="I8" authorId="0" shapeId="0" xr:uid="{00000000-0006-0000-0300-0000CF000000}">
      <text>
        <r>
          <rPr>
            <sz val="10"/>
            <rFont val="Arial"/>
            <family val="2"/>
          </rPr>
          <t>Source: FY2023 FS (Killam Q4 12-31-2023 FS-2.pdf) (IS) / FY2023 MDA (Killam Q4 12-31-2023 MDA-2.pdf), p.6
Total property revenue $348,150K FY2023, $328,847K FY2022
Note: FS extraction has rounded figures; MDA p.6 confirms precise amount</t>
        </r>
      </text>
    </comment>
    <comment ref="J8" authorId="0" shapeId="0" xr:uid="{00000000-0006-0000-0300-0000ED000000}">
      <text>
        <r>
          <rPr>
            <sz val="10"/>
            <rFont val="Arial"/>
            <family val="2"/>
          </rPr>
          <t>Source: FY2024 FS (Killam Q4 12-31-2024 FS - Final-4.pdf), p.2 (IS)
Total property revenue $364,650K FY2024, $348,150K FY2023</t>
        </r>
      </text>
    </comment>
    <comment ref="K8" authorId="0" shapeId="0" xr:uid="{00000000-0006-0000-0300-00000B010000}">
      <text>
        <r>
          <rPr>
            <sz val="10"/>
            <rFont val="Arial"/>
            <family val="2"/>
          </rPr>
          <t>Source: FY2025 FS (Killam Q4 12-31-2025 FS-3.pdf), p.9 (IS)
Total property revenue $383,401K FY2025, $364,650K FY2024</t>
        </r>
      </text>
    </comment>
    <comment ref="B14" authorId="0" shapeId="0" xr:uid="{00000000-0006-0000-0300-000002000000}">
      <text>
        <r>
          <rPr>
            <sz val="10"/>
            <rFont val="Arial"/>
            <family val="2"/>
          </rPr>
          <t>Source: FY2016 FS (Killam Q4 12-31-2016-FS), p.5
Operating expenses $29,097K FY2016, $27,590K FY2015</t>
        </r>
      </text>
    </comment>
    <comment ref="C14" authorId="0" shapeId="0" xr:uid="{00000000-0006-0000-0300-00001F000000}">
      <text>
        <r>
          <rPr>
            <sz val="10"/>
            <rFont val="Arial"/>
            <family val="2"/>
          </rPr>
          <t>Source: FY2017 AR (Killam.AR_.17-3.pdf), p.77 (IS)
Operating expenses $30,444K FY2017, $29,097K FY2016</t>
        </r>
      </text>
    </comment>
    <comment ref="D14" authorId="0" shapeId="0" xr:uid="{00000000-0006-0000-0300-00003D000000}">
      <text>
        <r>
          <rPr>
            <sz val="10"/>
            <rFont val="Arial"/>
            <family val="2"/>
          </rPr>
          <t>Source: FY2018 FS (Killam Q4 12-31-2018-FS Final-3.pdf), p.7 (IS)
Operating expenses $33,447K FY2018
Ref: FY2018 MDA (Killam Q4 12-31-2018-MDA - FINAL-3.pdf), p.16 for sub-component detail</t>
        </r>
      </text>
    </comment>
    <comment ref="E14" authorId="0" shapeId="0" xr:uid="{00000000-0006-0000-0300-00005B000000}">
      <text>
        <r>
          <rPr>
            <sz val="10"/>
            <rFont val="Arial"/>
            <family val="2"/>
          </rPr>
          <t>Source: FY2019 FS (Killam Q4 12-31-2019 FS FINAL-3.pdf), p.7 (IS)
Operating expenses $37,187K FY2019</t>
        </r>
      </text>
    </comment>
    <comment ref="F14" authorId="0" shapeId="0" xr:uid="{00000000-0006-0000-0300-000079000000}">
      <text>
        <r>
          <rPr>
            <sz val="10"/>
            <rFont val="Arial"/>
            <family val="2"/>
          </rPr>
          <t>Source: FY2020 FS (Killam Q4 12-31-2020 FS for Release-4.pdf), p.8 (IS)
Operating expenses $41,610K FY2020</t>
        </r>
      </text>
    </comment>
    <comment ref="G14" authorId="0" shapeId="0" xr:uid="{00000000-0006-0000-0300-000096000000}">
      <text>
        <r>
          <rPr>
            <sz val="10"/>
            <rFont val="Arial"/>
            <family val="2"/>
          </rPr>
          <t>Source: FY2021 FS (KillamQ42021FS-3.pdf), p.2 (IS)
Operating expenses $47,482K FY2021</t>
        </r>
      </text>
    </comment>
    <comment ref="H14" authorId="0" shapeId="0" xr:uid="{00000000-0006-0000-0300-0000B3000000}">
      <text>
        <r>
          <rPr>
            <sz val="10"/>
            <rFont val="Arial"/>
            <family val="2"/>
          </rPr>
          <t>Source: FY2022 FS (KMP.UN - FS Q4 12-31-2022-2.pdf), p.8 (IS)
Operating expenses $52,308K FY2022</t>
        </r>
      </text>
    </comment>
    <comment ref="I14" authorId="0" shapeId="0" xr:uid="{00000000-0006-0000-0300-0000D0000000}">
      <text>
        <r>
          <rPr>
            <sz val="10"/>
            <rFont val="Arial"/>
            <family val="2"/>
          </rPr>
          <t>Source: FY2023 FS (Killam Q4 12-31-2023 FS-2.pdf) (IS) / FY2023 MDA (Killam Q4 12-31-2023 MDA-2.pdf), p.18
Operating expenses $54,070K FY2023</t>
        </r>
      </text>
    </comment>
    <comment ref="J14" authorId="0" shapeId="0" xr:uid="{00000000-0006-0000-0300-0000EE000000}">
      <text>
        <r>
          <rPr>
            <sz val="10"/>
            <rFont val="Arial"/>
            <family val="2"/>
          </rPr>
          <t>Source: FY2024 FS (Killam Q4 12-31-2024 FS - Final-4.pdf), p.2 (IS)
Operating expenses $54,786K FY2024</t>
        </r>
      </text>
    </comment>
    <comment ref="K14" authorId="0" shapeId="0" xr:uid="{00000000-0006-0000-0300-00000C010000}">
      <text>
        <r>
          <rPr>
            <sz val="10"/>
            <rFont val="Arial"/>
            <family val="2"/>
          </rPr>
          <t>Source: FY2025 FS (Killam Q4 12-31-2025 FS-3.pdf), p.9 (IS)
Operating expenses $56,558K FY2025</t>
        </r>
      </text>
    </comment>
    <comment ref="B15" authorId="0" shapeId="0" xr:uid="{00000000-0006-0000-0300-000003000000}">
      <text>
        <r>
          <rPr>
            <sz val="10"/>
            <rFont val="Arial"/>
            <family val="2"/>
          </rPr>
          <t>Source: FY2016 FS (Killam Q4 12-31-2016-FS), p.5
Property taxes $20,286K FY2016, $19,335K FY2015</t>
        </r>
      </text>
    </comment>
    <comment ref="C15" authorId="0" shapeId="0" xr:uid="{00000000-0006-0000-0300-000020000000}">
      <text>
        <r>
          <rPr>
            <sz val="10"/>
            <rFont val="Arial"/>
            <family val="2"/>
          </rPr>
          <t>Source: FY2017 AR (Killam.AR_.17-3.pdf), p.77 (IS)
Property taxes $22,045K FY2017, $20,286K FY2016</t>
        </r>
      </text>
    </comment>
    <comment ref="D15" authorId="0" shapeId="0" xr:uid="{00000000-0006-0000-0300-00003E000000}">
      <text>
        <r>
          <rPr>
            <sz val="10"/>
            <rFont val="Arial"/>
            <family val="2"/>
          </rPr>
          <t>Source: FY2018 FS (Killam Q4 12-31-2018-FS Final-3.pdf), p.7 (IS)
Property taxes $25,095K FY2018</t>
        </r>
      </text>
    </comment>
    <comment ref="E15" authorId="0" shapeId="0" xr:uid="{00000000-0006-0000-0300-00005C000000}">
      <text>
        <r>
          <rPr>
            <sz val="10"/>
            <rFont val="Arial"/>
            <family val="2"/>
          </rPr>
          <t>Source: FY2019 FS (Killam Q4 12-31-2019 FS FINAL-3.pdf), p.7 (IS)
Property taxes $28,711K FY2019</t>
        </r>
      </text>
    </comment>
    <comment ref="F15" authorId="0" shapeId="0" xr:uid="{00000000-0006-0000-0300-00007A000000}">
      <text>
        <r>
          <rPr>
            <sz val="10"/>
            <rFont val="Arial"/>
            <family val="2"/>
          </rPr>
          <t>Source: FY2020 FS (Killam Q4 12-31-2020 FS for Release-4.pdf), p.8 (IS)
Property taxes $32,178K FY2020</t>
        </r>
      </text>
    </comment>
    <comment ref="G15" authorId="0" shapeId="0" xr:uid="{00000000-0006-0000-0300-000097000000}">
      <text>
        <r>
          <rPr>
            <sz val="10"/>
            <rFont val="Arial"/>
            <family val="2"/>
          </rPr>
          <t>Source: FY2021 FS (KillamQ42021FS-3.pdf), p.2 (IS)
Property taxes $35,517K FY2021</t>
        </r>
      </text>
    </comment>
    <comment ref="H15" authorId="0" shapeId="0" xr:uid="{00000000-0006-0000-0300-0000B4000000}">
      <text>
        <r>
          <rPr>
            <sz val="10"/>
            <rFont val="Arial"/>
            <family val="2"/>
          </rPr>
          <t>Source: FY2022 FS (KMP.UN - FS Q4 12-31-2022-2.pdf), p.8 (IS)
Property taxes $39,521K FY2022</t>
        </r>
      </text>
    </comment>
    <comment ref="I15" authorId="0" shapeId="0" xr:uid="{00000000-0006-0000-0300-0000D1000000}">
      <text>
        <r>
          <rPr>
            <sz val="10"/>
            <rFont val="Arial"/>
            <family val="2"/>
          </rPr>
          <t>Source: FY2023 FS (Killam Q4 12-31-2023 FS-2.pdf) (IS) / FY2023 MDA (Killam Q4 12-31-2023 MDA-2.pdf), p.18
Property taxes $39,230K FY2023</t>
        </r>
      </text>
    </comment>
    <comment ref="J15" authorId="0" shapeId="0" xr:uid="{00000000-0006-0000-0300-0000EF000000}">
      <text>
        <r>
          <rPr>
            <sz val="10"/>
            <rFont val="Arial"/>
            <family val="2"/>
          </rPr>
          <t>Source: FY2024 FS (Killam Q4 12-31-2024 FS - Final-4.pdf), p.2 (IS)
Property taxes $40,927K FY2024</t>
        </r>
      </text>
    </comment>
    <comment ref="K15" authorId="0" shapeId="0" xr:uid="{00000000-0006-0000-0300-00000D010000}">
      <text>
        <r>
          <rPr>
            <sz val="10"/>
            <rFont val="Arial"/>
            <family val="2"/>
          </rPr>
          <t>Source: FY2025 FS (Killam Q4 12-31-2025 FS-3.pdf), p.9 (IS)
Property taxes $43,628K FY2025</t>
        </r>
      </text>
    </comment>
    <comment ref="B16" authorId="0" shapeId="0" xr:uid="{00000000-0006-0000-0300-000004000000}">
      <text>
        <r>
          <rPr>
            <sz val="10"/>
            <rFont val="Arial"/>
            <family val="2"/>
          </rPr>
          <t>Source: FY2016 FS (Killam Q4 12-31-2016-FS), p.5
Total property operating expenses $69,845K FY2016, $68,224K FY2015
= Operating $29,097 + Utility $20,462 + Tax $20,286</t>
        </r>
      </text>
    </comment>
    <comment ref="C16" authorId="0" shapeId="0" xr:uid="{00000000-0006-0000-0300-000021000000}">
      <text>
        <r>
          <rPr>
            <sz val="10"/>
            <rFont val="Arial"/>
            <family val="2"/>
          </rPr>
          <t>Source: FY2017 AR (Killam.AR_.17-3.pdf), p.77 (IS)
Total property operating expenses $(72,157)K FY2017
= Operating $30,444 + Utility $19,668 + Tax $22,045</t>
        </r>
      </text>
    </comment>
    <comment ref="D16" authorId="0" shapeId="0" xr:uid="{00000000-0006-0000-0300-00003F000000}">
      <text>
        <r>
          <rPr>
            <sz val="10"/>
            <rFont val="Arial"/>
            <family val="2"/>
          </rPr>
          <t>Source: FY2018 FS (Killam Q4 12-31-2018-FS Final-3.pdf), p.7 (IS)
Total property operating expenses $(80,247)K FY2018
= Operating $33,447 + Utility $21,705 + Tax $25,095</t>
        </r>
      </text>
    </comment>
    <comment ref="E16" authorId="0" shapeId="0" xr:uid="{00000000-0006-0000-0300-00005D000000}">
      <text>
        <r>
          <rPr>
            <sz val="10"/>
            <rFont val="Arial"/>
            <family val="2"/>
          </rPr>
          <t>Source: FY2019 FS (Killam Q4 12-31-2019 FS FINAL-3.pdf), p.7 (IS)
Total property operating expenses $(89,413)K FY2019
= Operating $37,187 + Utility $23,515 + Tax $28,711</t>
        </r>
      </text>
    </comment>
    <comment ref="F16" authorId="0" shapeId="0" xr:uid="{00000000-0006-0000-0300-00007B000000}">
      <text>
        <r>
          <rPr>
            <sz val="10"/>
            <rFont val="Arial"/>
            <family val="2"/>
          </rPr>
          <t>Source: FY2020 FS (Killam Q4 12-31-2020 FS for Release-4.pdf), p.8 (IS)
Total property operating expenses $(97,028)K FY2020
= Operating $41,610 + Utility $23,240 + Tax $32,178</t>
        </r>
      </text>
    </comment>
    <comment ref="G16" authorId="0" shapeId="0" xr:uid="{00000000-0006-0000-0300-000098000000}">
      <text>
        <r>
          <rPr>
            <sz val="10"/>
            <rFont val="Arial"/>
            <family val="2"/>
          </rPr>
          <t>Source: FY2021 FS (KillamQ42021FS-3.pdf), p.2 (IS)
Total property operating expenses $(107,682)K FY2021
= Operating $47,482 + Utility $24,683 + Tax $35,517</t>
        </r>
      </text>
    </comment>
    <comment ref="H16" authorId="0" shapeId="0" xr:uid="{00000000-0006-0000-0300-0000B5000000}">
      <text>
        <r>
          <rPr>
            <sz val="10"/>
            <rFont val="Arial"/>
            <family val="2"/>
          </rPr>
          <t>Source: FY2022 FS (KMP.UN - FS Q4 12-31-2022-2.pdf), p.8 (IS)
Total property operating expenses $(121,935)K FY2022
= Operating $52,308 + Utility $30,106 + Tax $39,521</t>
        </r>
      </text>
    </comment>
    <comment ref="I16" authorId="0" shapeId="0" xr:uid="{00000000-0006-0000-0300-0000D2000000}">
      <text>
        <r>
          <rPr>
            <sz val="10"/>
            <rFont val="Arial"/>
            <family val="2"/>
          </rPr>
          <t>Source: FY2023 FS (Killam Q4 12-31-2023 FS-2.pdf) (IS) / FY2023 MDA (Killam Q4 12-31-2023 MDA-2.pdf), p.18
Total property operating expenses $(124,107)K FY2023
= Operating $54,070 + Utility $30,807 + Tax $39,230</t>
        </r>
      </text>
    </comment>
    <comment ref="J16" authorId="0" shapeId="0" xr:uid="{00000000-0006-0000-0300-0000F0000000}">
      <text>
        <r>
          <rPr>
            <sz val="10"/>
            <rFont val="Arial"/>
            <family val="2"/>
          </rPr>
          <t>Source: FY2024 FS (Killam Q4 12-31-2024 FS - Final-4.pdf), p.2 (IS)
Total property operating expenses $(124,169)K FY2024
= Operating $54,786 + Utility $28,456 + Tax $40,927</t>
        </r>
      </text>
    </comment>
    <comment ref="K16" authorId="0" shapeId="0" xr:uid="{00000000-0006-0000-0300-00000E010000}">
      <text>
        <r>
          <rPr>
            <sz val="10"/>
            <rFont val="Arial"/>
            <family val="2"/>
          </rPr>
          <t>Source: FY2025 FS (Killam Q4 12-31-2025 FS-3.pdf), p.9 (IS)
Total property operating expenses $(128,573)K FY2025
= Operating $56,558 + Utility $28,387 + Tax $43,628</t>
        </r>
      </text>
    </comment>
    <comment ref="B21" authorId="0" shapeId="0" xr:uid="{00000000-0006-0000-0300-000005000000}">
      <text>
        <r>
          <rPr>
            <sz val="10"/>
            <rFont val="Arial"/>
            <family val="2"/>
          </rPr>
          <t>Source: FY2016 FS (Killam Q4 12-31-2016-FS), p.5
Other income $1,227K FY2016, $1,495K FY2015</t>
        </r>
      </text>
    </comment>
    <comment ref="C21" authorId="0" shapeId="0" xr:uid="{00000000-0006-0000-0300-000022000000}">
      <text>
        <r>
          <rPr>
            <sz val="10"/>
            <rFont val="Arial"/>
            <family val="2"/>
          </rPr>
          <t>Source: FY2017 AR (Killam.AR_.17-3.pdf), p.45 (MDA section)
Other income $847K FY2017, $1,227K FY2016</t>
        </r>
      </text>
    </comment>
    <comment ref="D21" authorId="0" shapeId="0" xr:uid="{00000000-0006-0000-0300-000040000000}">
      <text>
        <r>
          <rPr>
            <sz val="10"/>
            <rFont val="Arial"/>
            <family val="2"/>
          </rPr>
          <t>Source: FY2018 FS (Killam Q4 12-31-2018-FS Final-3.pdf), p.7 (IS)
Other income / interest income $965K FY2018
Ref: FY2018 MDA (Killam Q4 12-31-2018-MDA - FINAL-3.pdf), p.22</t>
        </r>
      </text>
    </comment>
    <comment ref="E21" authorId="0" shapeId="0" xr:uid="{00000000-0006-0000-0300-00005E000000}">
      <text>
        <r>
          <rPr>
            <sz val="10"/>
            <rFont val="Arial"/>
            <family val="2"/>
          </rPr>
          <t>Source: FY2019 FS (Killam Q4 12-31-2019 FS FINAL-3.pdf), p.7 (IS)
Other income $6,059K FY2019 (up from $965K FY2018)
Note: significant increase likely includes gains from property operations or one-time items</t>
        </r>
      </text>
    </comment>
    <comment ref="F21" authorId="0" shapeId="0" xr:uid="{00000000-0006-0000-0300-00007C000000}">
      <text>
        <r>
          <rPr>
            <sz val="10"/>
            <rFont val="Arial"/>
            <family val="2"/>
          </rPr>
          <t>Source: FY2020 FS (Killam Q4 12-31-2020 FS for Release-4.pdf), p.8 (IS)
Other income $641K FY2020 (down from $6,059K FY2019)
Ref: FY2020 FS (Killam Q4 12-31-2020 FS for Release-4.pdf), p.24 — interest income $47K + other</t>
        </r>
      </text>
    </comment>
    <comment ref="G21" authorId="0" shapeId="0" xr:uid="{00000000-0006-0000-0300-000099000000}">
      <text>
        <r>
          <rPr>
            <sz val="10"/>
            <rFont val="Arial"/>
            <family val="2"/>
          </rPr>
          <t>Source: FY2021 FS (KillamQ42021FS-3.pdf), p.2 (IS)
Other income $1,059K FY2021
Ref: FY2021 FS (KillamQ42021FS-3.pdf), p.24 — mgmt fees $701, interest $237, home sales $121</t>
        </r>
      </text>
    </comment>
    <comment ref="H21" authorId="0" shapeId="0" xr:uid="{00000000-0006-0000-0300-0000B6000000}">
      <text>
        <r>
          <rPr>
            <sz val="10"/>
            <rFont val="Arial"/>
            <family val="2"/>
          </rPr>
          <t>Source: FY2022 FS (KMP.UN - FS Q4 12-31-2022-2.pdf), p.8 (IS) / p.25
Other income $1,797K FY2022
= Mgmt fees $1,199 + interest $356 + home sales $242</t>
        </r>
      </text>
    </comment>
    <comment ref="I21" authorId="0" shapeId="0" xr:uid="{00000000-0006-0000-0300-0000D3000000}">
      <text>
        <r>
          <rPr>
            <sz val="10"/>
            <rFont val="Arial"/>
            <family val="2"/>
          </rPr>
          <t>Source: FY2023 FS (Killam Q4 12-31-2023 FS-2.pdf) (IS) / FY2023 MDA (Killam Q4 12-31-2023 MDA-2.pdf)
Other income $1,810K FY2023</t>
        </r>
      </text>
    </comment>
    <comment ref="J21" authorId="0" shapeId="0" xr:uid="{00000000-0006-0000-0300-0000F1000000}">
      <text>
        <r>
          <rPr>
            <sz val="10"/>
            <rFont val="Arial"/>
            <family val="2"/>
          </rPr>
          <t>Source: FY2024 FS (Killam Q4 12-31-2024 FS - Final-4.pdf), p.2 (IS)
Other income $2,385K FY2024</t>
        </r>
      </text>
    </comment>
    <comment ref="K21" authorId="0" shapeId="0" xr:uid="{00000000-0006-0000-0300-00000F010000}">
      <text>
        <r>
          <rPr>
            <sz val="10"/>
            <rFont val="Arial"/>
            <family val="2"/>
          </rPr>
          <t>Source: FY2025 FS (Killam Q4 12-31-2025 FS-3.pdf), p.9 (IS)
Other income $2,229K FY2025
Ref: p.26 — mgmt fees $985, interest $874, home sales $370</t>
        </r>
      </text>
    </comment>
    <comment ref="B22" authorId="0" shapeId="0" xr:uid="{00000000-0006-0000-0300-000006000000}">
      <text>
        <r>
          <rPr>
            <sz val="10"/>
            <rFont val="Arial"/>
            <family val="2"/>
          </rPr>
          <t>Source: FY2016 FS (Killam Q4 12-31-2016-FS), p.5
G&amp;A $(12,733)K FY2016, $(11,898)K FY2015
Ref: FY2016 MD&amp;A (Killam Q4 12-31-2016-MDA), p.23 — includes REIT conversion costs of $1,548K</t>
        </r>
      </text>
    </comment>
    <comment ref="C22" authorId="0" shapeId="0" xr:uid="{00000000-0006-0000-0300-000023000000}">
      <text>
        <r>
          <rPr>
            <sz val="10"/>
            <rFont val="Arial"/>
            <family val="2"/>
          </rPr>
          <t>Source: FY2017 AR (Killam.AR_.17-3.pdf), p.77 (IS)
G&amp;A $(12,958)K FY2017
Ref: p.46 — excl REIT conversion costs: $(12,722)K; conversion costs $236K</t>
        </r>
      </text>
    </comment>
    <comment ref="D22" authorId="0" shapeId="0" xr:uid="{00000000-0006-0000-0300-000041000000}">
      <text>
        <r>
          <rPr>
            <sz val="10"/>
            <rFont val="Arial"/>
            <family val="2"/>
          </rPr>
          <t>Source: FY2018 FS (Killam Q4 12-31-2018-FS Final-3.pdf), p.7 (IS)
G&amp;A $(14,201)K FY2018
Ref: FY2018 MDA (Killam Q4 12-31-2018-MDA - FINAL-3.pdf), p.23 — excl REIT conversion costs</t>
        </r>
      </text>
    </comment>
    <comment ref="E22" authorId="0" shapeId="0" xr:uid="{00000000-0006-0000-0300-00005F000000}">
      <text>
        <r>
          <rPr>
            <sz val="10"/>
            <rFont val="Arial"/>
            <family val="2"/>
          </rPr>
          <t>Source: FY2019 FS (Killam Q4 12-31-2019 FS FINAL-3.pdf), p.7 (IS)
G&amp;A $(14,881)K FY2019</t>
        </r>
      </text>
    </comment>
    <comment ref="F22" authorId="0" shapeId="0" xr:uid="{00000000-0006-0000-0300-00007D000000}">
      <text>
        <r>
          <rPr>
            <sz val="10"/>
            <rFont val="Arial"/>
            <family val="2"/>
          </rPr>
          <t>Source: FY2020 FS (Killam Q4 12-31-2020 FS for Release-4.pdf), p.8 (IS)
G&amp;A $(14,745)K FY2020</t>
        </r>
      </text>
    </comment>
    <comment ref="G22" authorId="0" shapeId="0" xr:uid="{00000000-0006-0000-0300-00009A000000}">
      <text>
        <r>
          <rPr>
            <sz val="10"/>
            <rFont val="Arial"/>
            <family val="2"/>
          </rPr>
          <t>Source: FY2021 FS (KillamQ42021FS-3.pdf), p.2 (IS)
G&amp;A $(15,988)K FY2021</t>
        </r>
      </text>
    </comment>
    <comment ref="H22" authorId="0" shapeId="0" xr:uid="{00000000-0006-0000-0300-0000B7000000}">
      <text>
        <r>
          <rPr>
            <sz val="10"/>
            <rFont val="Arial"/>
            <family val="2"/>
          </rPr>
          <t>Source: FY2022 FS (KMP.UN - FS Q4 12-31-2022-2.pdf), p.8 (IS)
G&amp;A $(17,153)K FY2022</t>
        </r>
      </text>
    </comment>
    <comment ref="I22" authorId="0" shapeId="0" xr:uid="{00000000-0006-0000-0300-0000D4000000}">
      <text>
        <r>
          <rPr>
            <sz val="10"/>
            <rFont val="Arial"/>
            <family val="2"/>
          </rPr>
          <t>Source: FY2023 FS (Killam Q4 12-31-2023 FS-2.pdf) (IS) / FY2023 MDA (Killam Q4 12-31-2023 MDA-2.pdf)
G&amp;A $(19,302)K FY2023</t>
        </r>
      </text>
    </comment>
    <comment ref="J22" authorId="0" shapeId="0" xr:uid="{00000000-0006-0000-0300-0000F2000000}">
      <text>
        <r>
          <rPr>
            <sz val="10"/>
            <rFont val="Arial"/>
            <family val="2"/>
          </rPr>
          <t>Source: FY2024 FS (Killam Q4 12-31-2024 FS - Final-4.pdf), p.2 (IS)
G&amp;A $(20,282)K FY2024</t>
        </r>
      </text>
    </comment>
    <comment ref="K22" authorId="0" shapeId="0" xr:uid="{00000000-0006-0000-0300-000010010000}">
      <text>
        <r>
          <rPr>
            <sz val="10"/>
            <rFont val="Arial"/>
            <family val="2"/>
          </rPr>
          <t>Source: FY2025 FS (Killam Q4 12-31-2025 FS-3.pdf), p.9 (IS)
G&amp;A $(21,737)K FY2025</t>
        </r>
      </text>
    </comment>
    <comment ref="B23" authorId="0" shapeId="0" xr:uid="{00000000-0006-0000-0300-000007000000}">
      <text>
        <r>
          <rPr>
            <sz val="10"/>
            <rFont val="Arial"/>
            <family val="2"/>
          </rPr>
          <t>Source: FY2016 FS (Killam Q4 12-31-2016-FS), p.5
Restructuring/conversion costs: $0 as separate line — embedded in G&amp;A row 22
Ref: FY2016 MD&amp;A (Killam Q4 12-31-2016-MDA), p.23 — REIT conversion costs $1,548K included in G&amp;A</t>
        </r>
      </text>
    </comment>
    <comment ref="C23" authorId="0" shapeId="0" xr:uid="{00000000-0006-0000-0300-000024000000}">
      <text>
        <r>
          <rPr>
            <sz val="10"/>
            <rFont val="Arial"/>
            <family val="2"/>
          </rPr>
          <t>Source: FY2017 AR (Killam.AR_.17-3.pdf), p.46 (MDA section)
Restructuring/REIT conversion costs: $0 separate — $236K embedded in G&amp;A</t>
        </r>
      </text>
    </comment>
    <comment ref="D23" authorId="0" shapeId="0" xr:uid="{00000000-0006-0000-0300-000042000000}">
      <text>
        <r>
          <rPr>
            <sz val="10"/>
            <rFont val="Arial"/>
            <family val="2"/>
          </rPr>
          <t>Source: FY2018 MDA (Killam Q4 12-31-2018-MDA - FINAL-3.pdf), p.23
Restructuring costs: $0 separate line — no conversion costs remaining in FY2018</t>
        </r>
      </text>
    </comment>
    <comment ref="E23" authorId="0" shapeId="0" xr:uid="{00000000-0006-0000-0300-000060000000}">
      <text>
        <r>
          <rPr>
            <sz val="10"/>
            <rFont val="Arial"/>
            <family val="2"/>
          </rPr>
          <t>Source: FY2019 FS (Killam Q4 12-31-2019 FS FINAL-3.pdf)
Restructuring costs: $0 FY2019</t>
        </r>
      </text>
    </comment>
    <comment ref="F23" authorId="0" shapeId="0" xr:uid="{00000000-0006-0000-0300-00007E000000}">
      <text>
        <r>
          <rPr>
            <sz val="10"/>
            <rFont val="Arial"/>
            <family val="2"/>
          </rPr>
          <t>Source: FY2020 FS (Killam Q4 12-31-2020 FS for Release-4.pdf)
Restructuring costs: $0 FY2020</t>
        </r>
      </text>
    </comment>
    <comment ref="G23" authorId="0" shapeId="0" xr:uid="{00000000-0006-0000-0300-00009B000000}">
      <text>
        <r>
          <rPr>
            <sz val="10"/>
            <rFont val="Arial"/>
            <family val="2"/>
          </rPr>
          <t>Source: FY2021 FS (KillamQ42021FS-3.pdf)
Restructuring costs: $0 FY2021</t>
        </r>
      </text>
    </comment>
    <comment ref="H23" authorId="0" shapeId="0" xr:uid="{00000000-0006-0000-0300-0000B8000000}">
      <text>
        <r>
          <rPr>
            <sz val="10"/>
            <rFont val="Arial"/>
            <family val="2"/>
          </rPr>
          <t>Source: FY2022 FS (KMP.UN - FS Q4 12-31-2022-2.pdf)
Restructuring costs: $0</t>
        </r>
      </text>
    </comment>
    <comment ref="I23" authorId="0" shapeId="0" xr:uid="{00000000-0006-0000-0300-0000D5000000}">
      <text>
        <r>
          <rPr>
            <sz val="10"/>
            <rFont val="Arial"/>
            <family val="2"/>
          </rPr>
          <t>Source: FY2023 FS (Killam Q4 12-31-2023 FS-2.pdf)
Restructuring costs: $0</t>
        </r>
      </text>
    </comment>
    <comment ref="J23" authorId="0" shapeId="0" xr:uid="{00000000-0006-0000-0300-0000F3000000}">
      <text>
        <r>
          <rPr>
            <sz val="10"/>
            <rFont val="Arial"/>
            <family val="2"/>
          </rPr>
          <t>Source: FY2024 FS (Killam Q4 12-31-2024 FS - Final-4.pdf), p.2 (IS)
Restructuring costs $(5,904)K FY2024
One-time internal reorganization costs</t>
        </r>
      </text>
    </comment>
    <comment ref="K23" authorId="0" shapeId="0" xr:uid="{00000000-0006-0000-0300-000011010000}">
      <text>
        <r>
          <rPr>
            <sz val="10"/>
            <rFont val="Arial"/>
            <family val="2"/>
          </rPr>
          <t>Source: FY2025 FS (Killam Q4 12-31-2025 FS-3.pdf), p.9 (IS)
Restructuring costs $(466)K FY2025 (tail-end from FY2024 reorganization)</t>
        </r>
      </text>
    </comment>
    <comment ref="B24" authorId="0" shapeId="0" xr:uid="{00000000-0006-0000-0300-000008000000}">
      <text>
        <r>
          <rPr>
            <sz val="10"/>
            <rFont val="Arial"/>
            <family val="2"/>
          </rPr>
          <t>Source: FY2016 FS (Killam Q4 12-31-2016-FS), p.5
FV adj on unit-based compensation $(826)K FY2016</t>
        </r>
      </text>
    </comment>
    <comment ref="C24" authorId="0" shapeId="0" xr:uid="{00000000-0006-0000-0300-000025000000}">
      <text>
        <r>
          <rPr>
            <sz val="10"/>
            <rFont val="Arial"/>
            <family val="2"/>
          </rPr>
          <t>Source: FY2017 AR (Killam.AR_.17-3.pdf), p.77 (IS) / p.47 (MDA section)
FV adj UBC $(534)K FY2017</t>
        </r>
      </text>
    </comment>
    <comment ref="D24" authorId="0" shapeId="0" xr:uid="{00000000-0006-0000-0300-000043000000}">
      <text>
        <r>
          <rPr>
            <sz val="10"/>
            <rFont val="Arial"/>
            <family val="2"/>
          </rPr>
          <t>Source: FY2018 MDA (Killam Q4 12-31-2018-MDA - FINAL-3.pdf), p.23
FV adj UBC $(553)K FY2018</t>
        </r>
      </text>
    </comment>
    <comment ref="E24" authorId="0" shapeId="0" xr:uid="{00000000-0006-0000-0300-000061000000}">
      <text>
        <r>
          <rPr>
            <sz val="10"/>
            <rFont val="Arial"/>
            <family val="2"/>
          </rPr>
          <t>Source: FY2019 FS (Killam Q4 12-31-2019 FS FINAL-3.pdf), p.7 (IS)
FV adj UBC $(1,590)K FY2019</t>
        </r>
      </text>
    </comment>
    <comment ref="F24" authorId="0" shapeId="0" xr:uid="{00000000-0006-0000-0300-00007F000000}">
      <text>
        <r>
          <rPr>
            <sz val="10"/>
            <rFont val="Arial"/>
            <family val="2"/>
          </rPr>
          <t>Source: FY2020 FS (Killam Q4 12-31-2020 FS for Release-4.pdf), p.8 (IS)
FV adj UBC $59K gain FY2020 (vs $(1,590) loss FY2019)</t>
        </r>
      </text>
    </comment>
    <comment ref="G24" authorId="0" shapeId="0" xr:uid="{00000000-0006-0000-0300-00009C000000}">
      <text>
        <r>
          <rPr>
            <sz val="10"/>
            <rFont val="Arial"/>
            <family val="2"/>
          </rPr>
          <t>Source: FY2021 FS (KillamQ42021FS-3.pdf), p.2 (IS)
FV adj UBC $(1,869)K FY2021</t>
        </r>
      </text>
    </comment>
    <comment ref="H24" authorId="0" shapeId="0" xr:uid="{00000000-0006-0000-0300-0000B9000000}">
      <text>
        <r>
          <rPr>
            <sz val="10"/>
            <rFont val="Arial"/>
            <family val="2"/>
          </rPr>
          <t>Source: FY2022 FS (KMP.UN - FS Q4 12-31-2022-2.pdf), p.8 (IS)
FV adj UBC $2,234K gain FY2022 (unit price decline reduces liability)</t>
        </r>
      </text>
    </comment>
    <comment ref="I24" authorId="0" shapeId="0" xr:uid="{00000000-0006-0000-0300-0000D6000000}">
      <text>
        <r>
          <rPr>
            <sz val="10"/>
            <rFont val="Arial"/>
            <family val="2"/>
          </rPr>
          <t>Source: FY2023 FS (Killam Q4 12-31-2023 FS-2.pdf) (IS) / FY2023 MDA (Killam Q4 12-31-2023 MDA-2.pdf), p.29
FV adj UBC $(330)K FY2023</t>
        </r>
      </text>
    </comment>
    <comment ref="J24" authorId="0" shapeId="0" xr:uid="{00000000-0006-0000-0300-0000F4000000}">
      <text>
        <r>
          <rPr>
            <sz val="10"/>
            <rFont val="Arial"/>
            <family val="2"/>
          </rPr>
          <t>Source: FY2024 FS (Killam Q4 12-31-2024 FS - Final-4.pdf), p.2 (IS)
FV adj UBC $931K gain FY2024</t>
        </r>
      </text>
    </comment>
    <comment ref="K24" authorId="0" shapeId="0" xr:uid="{00000000-0006-0000-0300-000012010000}">
      <text>
        <r>
          <rPr>
            <sz val="10"/>
            <rFont val="Arial"/>
            <family val="2"/>
          </rPr>
          <t>Source: FY2025 FS (Killam Q4 12-31-2025 FS-3.pdf), p.9 (IS)
FV adj UBC $941K gain FY2025</t>
        </r>
      </text>
    </comment>
    <comment ref="B29" authorId="0" shapeId="0" xr:uid="{00000000-0006-0000-0300-000009000000}">
      <text>
        <r>
          <rPr>
            <sz val="10"/>
            <rFont val="Arial"/>
            <family val="2"/>
          </rPr>
          <t>Source: FY2016 FS (Killam Q4 12-31-2016-FS), p.5
Financing costs $(36,193)K + deferred financing amort $(1,505)K = $(37,698)K FY2016
Ref: FY2016 FS (Killam Q4 12-31-2016-FS), p.27 — detail: mortgage interest $(30,919), exchangeable unit interest $(2,659), convertible deb interest $(4,178), FV adj on debt $415, hedge amort $(59), derivative gain $297, capitalized interest $910</t>
        </r>
      </text>
    </comment>
    <comment ref="C29" authorId="0" shapeId="0" xr:uid="{00000000-0006-0000-0300-000026000000}">
      <text>
        <r>
          <rPr>
            <sz val="10"/>
            <rFont val="Arial"/>
            <family val="2"/>
          </rPr>
          <t>Source: FY2017 AR (Killam.AR_.17-3.pdf), p.77 (IS)
Finance costs $(33,126)K + deferred financing amort $(1,720)K = $(34,846)K
Model: $(34,845)K — $1 rounding
Ref: p.45 — mortgage int $(32,526), exch unit int $(2,383), conv deb int $(715), FV adj debt $214, hedge $(60), derivative $362, capitalized $1,982</t>
        </r>
      </text>
    </comment>
    <comment ref="D29" authorId="0" shapeId="0" xr:uid="{00000000-0006-0000-0300-000044000000}">
      <text>
        <r>
          <rPr>
            <sz val="10"/>
            <rFont val="Arial"/>
            <family val="2"/>
          </rPr>
          <t>Source: FY2018 FS (Killam Q4 12-31-2018-FS Final-3.pdf), p.7 (IS)
Finance costs $(42,648)K total FY2018
Ref: FY2018 MDA (Killam Q4 12-31-2018-MDA - FINAL-3.pdf), p.22 — mortgage int $(37,674), CF int $(1,075), exch unit int $(2,453), deferred fin amort $(4,354), capitalized int $3,169, other $(131)</t>
        </r>
      </text>
    </comment>
    <comment ref="E29" authorId="0" shapeId="0" xr:uid="{00000000-0006-0000-0300-000062000000}">
      <text>
        <r>
          <rPr>
            <sz val="10"/>
            <rFont val="Arial"/>
            <family val="2"/>
          </rPr>
          <t>Source: FY2019 FS (Killam Q4 12-31-2019 FS FINAL-3.pdf), p.7 (IS)
Finance costs $(47,443)K FY2019
Ref: FY2019 MDA (Killam Q4 12-31-2019 MDA FINAL-3.pdf), p.26 — mortgage int, exch unit int $2,727, deferred fin amort $3,093, capitalized int $(2,267)</t>
        </r>
      </text>
    </comment>
    <comment ref="F29" authorId="0" shapeId="0" xr:uid="{00000000-0006-0000-0300-000080000000}">
      <text>
        <r>
          <rPr>
            <sz val="10"/>
            <rFont val="Arial"/>
            <family val="2"/>
          </rPr>
          <t>Source: FY2020 FS (Killam Q4 12-31-2020 FS for Release-4.pdf), p.8 (IS)
Finance costs $(48,919)K FY2020
Ref: FY2020 MDA (Killam Q4 12-31-2020 MDA for Release-4.pdf), p.28 — mortgage int $(44,055), exch unit int $(2,784), deferred fin amort, capitalized int $2,673</t>
        </r>
      </text>
    </comment>
    <comment ref="G29" authorId="0" shapeId="0" xr:uid="{00000000-0006-0000-0300-00009D000000}">
      <text>
        <r>
          <rPr>
            <sz val="10"/>
            <rFont val="Arial"/>
            <family val="2"/>
          </rPr>
          <t>Source: FY2021 FS (KillamQ42021FS-3.pdf), p.2 (IS)
Finance costs $(51,521)K FY2021
Ref: FY2021 FS (KillamQ42021FS-3.pdf), p.25 — mortgage int $(46,683), CF int $(1,063), exch unit int $(2,766), deferred fin amort $(3,784), FV adj debt $(65), derivative gain $167, lease int $(386), capitalized $3,059</t>
        </r>
      </text>
    </comment>
    <comment ref="H29" authorId="0" shapeId="0" xr:uid="{00000000-0006-0000-0300-0000BA000000}">
      <text>
        <r>
          <rPr>
            <sz val="10"/>
            <rFont val="Arial"/>
            <family val="2"/>
          </rPr>
          <t>Source: FY2022 FS (KMP.UN - FS Q4 12-31-2022-2.pdf), p.8 (IS)
Finance costs $(61,499)K FY2022
Ref: FY2022 FS (KMP.UN - FS Q4 12-31-2022-2.pdf), p.26 — mortgage int $(54,077), CF int $(3,774), exch unit int $(2,790), deferred fin $(3,846), FV debt $(171), derivative $88, lease $(391), capitalized $3,462</t>
        </r>
      </text>
    </comment>
    <comment ref="I29" authorId="0" shapeId="0" xr:uid="{00000000-0006-0000-0300-0000D7000000}">
      <text>
        <r>
          <rPr>
            <sz val="10"/>
            <rFont val="Arial"/>
            <family val="2"/>
          </rPr>
          <t>Source: FY2023 FS (Killam Q4 12-31-2023 FS-2.pdf) (IS) / FY2023 MDA (Killam Q4 12-31-2023 MDA-2.pdf), p.28
Finance costs $(69,398)K FY2023
Ref: FY2023 MDA (Killam Q4 12-31-2023 MDA-2.pdf), p.28 for detail breakdown</t>
        </r>
      </text>
    </comment>
    <comment ref="J29" authorId="0" shapeId="0" xr:uid="{00000000-0006-0000-0300-0000F5000000}">
      <text>
        <r>
          <rPr>
            <sz val="10"/>
            <rFont val="Arial"/>
            <family val="2"/>
          </rPr>
          <t>Source: FY2024 FS (Killam Q4 12-31-2024 FS - Final-4.pdf), p.2 (IS)
Finance costs $(79,712)K FY2024
Ref: FY2024 MDA (Killam Q4 12-31-2024 MDA - Final-4.pdf), p.27 for detail breakdown</t>
        </r>
      </text>
    </comment>
    <comment ref="K29" authorId="0" shapeId="0" xr:uid="{00000000-0006-0000-0300-000013010000}">
      <text>
        <r>
          <rPr>
            <sz val="10"/>
            <rFont val="Arial"/>
            <family val="2"/>
          </rPr>
          <t>Source: FY2025 FS (Killam Q4 12-31-2025 FS-3.pdf), p.9 (IS)
Finance costs $(84,451)K FY2025
Ref: FY2025 MDA (Killam Q4 12-31-2025 MDA-2.pdf), p.27 for detail breakdown</t>
        </r>
      </text>
    </comment>
    <comment ref="B30" authorId="0" shapeId="0" xr:uid="{00000000-0006-0000-0300-00000A000000}">
      <text>
        <r>
          <rPr>
            <sz val="10"/>
            <rFont val="Arial"/>
            <family val="2"/>
          </rPr>
          <t>Source: FY2016 FS (Killam Q4 12-31-2016-FS), p.5
FV adj on investment properties $(3,749)K FY2016, $(6,103)K FY2015</t>
        </r>
      </text>
    </comment>
    <comment ref="C30" authorId="0" shapeId="0" xr:uid="{00000000-0006-0000-0300-000027000000}">
      <text>
        <r>
          <rPr>
            <sz val="10"/>
            <rFont val="Arial"/>
            <family val="2"/>
          </rPr>
          <t>Source: FY2017 AR (Killam.AR_.17-3.pdf), p.77 (IS) / p.47 (MDA section)
FV adj on IP $64,857K gain FY2017 (vs loss of $3,749K FY2016)</t>
        </r>
      </text>
    </comment>
    <comment ref="D30" authorId="0" shapeId="0" xr:uid="{00000000-0006-0000-0300-000045000000}">
      <text>
        <r>
          <rPr>
            <sz val="10"/>
            <rFont val="Arial"/>
            <family val="2"/>
          </rPr>
          <t>Source: FY2018 FS (Killam Q4 12-31-2018-FS Final-3.pdf), p.7 (IS) / FY2018 MDA (Killam Q4 12-31-2018-MDA - FINAL-3.pdf), p.23
FV adj on IP $134,803K gain FY2018</t>
        </r>
      </text>
    </comment>
    <comment ref="E30" authorId="0" shapeId="0" xr:uid="{00000000-0006-0000-0300-000063000000}">
      <text>
        <r>
          <rPr>
            <sz val="10"/>
            <rFont val="Arial"/>
            <family val="2"/>
          </rPr>
          <t>Source: FY2019 FS (Killam Q4 12-31-2019 FS FINAL-3.pdf), p.7 (IS)
FV adj on IP $244,130K gain FY2019</t>
        </r>
      </text>
    </comment>
    <comment ref="F30" authorId="0" shapeId="0" xr:uid="{00000000-0006-0000-0300-000081000000}">
      <text>
        <r>
          <rPr>
            <sz val="10"/>
            <rFont val="Arial"/>
            <family val="2"/>
          </rPr>
          <t>Source: FY2020 FS (Killam Q4 12-31-2020 FS for Release-4.pdf), p.8 (IS)
FV adj on IP $46,885K gain FY2020 (significant decline from $244,130K FY2019)</t>
        </r>
      </text>
    </comment>
    <comment ref="G30" authorId="0" shapeId="0" xr:uid="{00000000-0006-0000-0300-00009E000000}">
      <text>
        <r>
          <rPr>
            <sz val="10"/>
            <rFont val="Arial"/>
            <family val="2"/>
          </rPr>
          <t>Source: FY2021 FS (KillamQ42021FS-3.pdf), p.2 (IS)
FV adj on IP $239,684K gain FY2021</t>
        </r>
      </text>
    </comment>
    <comment ref="H30" authorId="0" shapeId="0" xr:uid="{00000000-0006-0000-0300-0000BB000000}">
      <text>
        <r>
          <rPr>
            <sz val="10"/>
            <rFont val="Arial"/>
            <family val="2"/>
          </rPr>
          <t>Source: FY2022 FS (KMP.UN - FS Q4 12-31-2022-2.pdf), p.8 (IS)
FV adj on IP $(19,870)K loss FY2022
First FV loss since FY2016 — cap rate expansion + rising rates</t>
        </r>
      </text>
    </comment>
    <comment ref="I30" authorId="0" shapeId="0" xr:uid="{00000000-0006-0000-0300-0000D8000000}">
      <text>
        <r>
          <rPr>
            <sz val="10"/>
            <rFont val="Arial"/>
            <family val="2"/>
          </rPr>
          <t>Source: FY2023 FS (Killam Q4 12-31-2023 FS-2.pdf) (IS) / FY2023 MDA (Killam Q4 12-31-2023 MDA-2.pdf), p.29
FV adj on IP $174,179K gain FY2023
Recovery from $(19,870)K loss FY2022</t>
        </r>
      </text>
    </comment>
    <comment ref="J30" authorId="0" shapeId="0" xr:uid="{00000000-0006-0000-0300-0000F6000000}">
      <text>
        <r>
          <rPr>
            <sz val="10"/>
            <rFont val="Arial"/>
            <family val="2"/>
          </rPr>
          <t>Source: FY2024 FS (Killam Q4 12-31-2024 FS - Final-4.pdf), p.2 (IS)
FV adj on IP $252,361K gain FY2024
Strong recovery — cap rate stable at 4.62% but NOI growth drove values higher</t>
        </r>
      </text>
    </comment>
    <comment ref="K30" authorId="0" shapeId="0" xr:uid="{00000000-0006-0000-0300-000014010000}">
      <text>
        <r>
          <rPr>
            <sz val="10"/>
            <rFont val="Arial"/>
            <family val="2"/>
          </rPr>
          <t>Source: FY2025 FS (Killam Q4 12-31-2025 FS-3.pdf), p.9 (IS)
FV adj on IP $(120,467)K loss FY2025
Cap rate expansion from 4.62% to 4.76% (apartments) drove write-downs despite NOI growth</t>
        </r>
      </text>
    </comment>
    <comment ref="B31" authorId="0" shapeId="0" xr:uid="{00000000-0006-0000-0300-00000B000000}">
      <text>
        <r>
          <rPr>
            <sz val="10"/>
            <rFont val="Arial"/>
            <family val="2"/>
          </rPr>
          <t>Source: FY2016 FS (Killam Q4 12-31-2016-FS), p.5
FV adj on exchangeable units $(7,774)K FY2016</t>
        </r>
      </text>
    </comment>
    <comment ref="C31" authorId="0" shapeId="0" xr:uid="{00000000-0006-0000-0300-000028000000}">
      <text>
        <r>
          <rPr>
            <sz val="10"/>
            <rFont val="Arial"/>
            <family val="2"/>
          </rPr>
          <t>Source: FY2017 AR (Killam.AR_.17-3.pdf), p.77 (IS) / p.47 (MDA section)
FV adj exchangeable units $(8,811)K FY2017</t>
        </r>
      </text>
    </comment>
    <comment ref="D31" authorId="0" shapeId="0" xr:uid="{00000000-0006-0000-0300-000046000000}">
      <text>
        <r>
          <rPr>
            <sz val="10"/>
            <rFont val="Arial"/>
            <family val="2"/>
          </rPr>
          <t>Source: FY2018 MDA (Killam Q4 12-31-2018-MDA - FINAL-3.pdf), p.23
FV adj exchangeable units $(6,373)K FY2018</t>
        </r>
      </text>
    </comment>
    <comment ref="E31" authorId="0" shapeId="0" xr:uid="{00000000-0006-0000-0300-000064000000}">
      <text>
        <r>
          <rPr>
            <sz val="10"/>
            <rFont val="Arial"/>
            <family val="2"/>
          </rPr>
          <t>Source: FY2019 FS (Killam Q4 12-31-2019 FS FINAL-3.pdf), p.7 (IS)
FV adj exchangeable units $(12,461)K FY2019</t>
        </r>
      </text>
    </comment>
    <comment ref="F31" authorId="0" shapeId="0" xr:uid="{00000000-0006-0000-0300-000082000000}">
      <text>
        <r>
          <rPr>
            <sz val="10"/>
            <rFont val="Arial"/>
            <family val="2"/>
          </rPr>
          <t>Source: FY2020 FS (Killam Q4 12-31-2020 FS for Release-4.pdf), p.8 (IS)
FV adj exchangeable units $7,676K gain FY2020
Note: gain because unit price declined in 2020 (COVID impact)</t>
        </r>
      </text>
    </comment>
    <comment ref="G31" authorId="0" shapeId="0" xr:uid="{00000000-0006-0000-0300-00009F000000}">
      <text>
        <r>
          <rPr>
            <sz val="10"/>
            <rFont val="Arial"/>
            <family val="2"/>
          </rPr>
          <t>Source: FY2021 FS (KillamQ42021FS-3.pdf), p.2 (IS)
FV adj exchangeable units $(26,107)K FY2021
Significant loss: unit price rose from $17.10 to ~$23.60</t>
        </r>
      </text>
    </comment>
    <comment ref="H31" authorId="0" shapeId="0" xr:uid="{00000000-0006-0000-0300-0000BC000000}">
      <text>
        <r>
          <rPr>
            <sz val="10"/>
            <rFont val="Arial"/>
            <family val="2"/>
          </rPr>
          <t>Source: FY2022 FS (KMP.UN - FS Q4 12-31-2022-2.pdf), p.8 (IS)
FV adj exchangeable units $29,497K gain FY2022
Unit price declined from ~$23.60 to ~$17.78</t>
        </r>
      </text>
    </comment>
    <comment ref="I31" authorId="0" shapeId="0" xr:uid="{00000000-0006-0000-0300-0000D9000000}">
      <text>
        <r>
          <rPr>
            <sz val="10"/>
            <rFont val="Arial"/>
            <family val="2"/>
          </rPr>
          <t>Source: FY2023 MDA (Killam Q4 12-31-2023 MDA-2.pdf), p.29
FV adj exchangeable units $(6,821)K FY2023</t>
        </r>
      </text>
    </comment>
    <comment ref="J31" authorId="0" shapeId="0" xr:uid="{00000000-0006-0000-0300-0000F7000000}">
      <text>
        <r>
          <rPr>
            <sz val="10"/>
            <rFont val="Arial"/>
            <family val="2"/>
          </rPr>
          <t>Source: FY2024 FS (Killam Q4 12-31-2024 FS - Final-4.pdf), p.2 (IS)
FV adj exchangeable units $3,352K gain FY2024</t>
        </r>
      </text>
    </comment>
    <comment ref="K31" authorId="0" shapeId="0" xr:uid="{00000000-0006-0000-0300-000015010000}">
      <text>
        <r>
          <rPr>
            <sz val="10"/>
            <rFont val="Arial"/>
            <family val="2"/>
          </rPr>
          <t>Source: FY2025 FS (Killam Q4 12-31-2025 FS-3.pdf), p.9 (IS)
FV adj exchangeable units $2,075K gain FY2025</t>
        </r>
      </text>
    </comment>
    <comment ref="B32" authorId="0" shapeId="0" xr:uid="{00000000-0006-0000-0300-00000C000000}">
      <text>
        <r>
          <rPr>
            <sz val="10"/>
            <rFont val="Arial"/>
            <family val="2"/>
          </rPr>
          <t>Source: FY2016 FS (Killam Q4 12-31-2016-FS), p.5
FV adj on convertible debentures $1,118K FY2016</t>
        </r>
      </text>
    </comment>
    <comment ref="C32" authorId="0" shapeId="0" xr:uid="{00000000-0006-0000-0300-000029000000}">
      <text>
        <r>
          <rPr>
            <sz val="10"/>
            <rFont val="Arial"/>
            <family val="2"/>
          </rPr>
          <t>Source: FY2017 AR (Killam.AR_.17-3.pdf), p.77 (IS) / p.47 (MDA section)
FV adj convertible debentures $690K FY2017</t>
        </r>
      </text>
    </comment>
    <comment ref="D32" authorId="0" shapeId="0" xr:uid="{00000000-0006-0000-0300-000047000000}">
      <text>
        <r>
          <rPr>
            <sz val="10"/>
            <rFont val="Arial"/>
            <family val="2"/>
          </rPr>
          <t>Source: FY2018 MDA (Killam Q4 12-31-2018-MDA - FINAL-3.pdf), p.23
FV adj other: $0 — no convertible debentures remaining (redeemed FY2017)</t>
        </r>
      </text>
    </comment>
    <comment ref="E32" authorId="0" shapeId="0" xr:uid="{00000000-0006-0000-0300-000065000000}">
      <text>
        <r>
          <rPr>
            <sz val="10"/>
            <rFont val="Arial"/>
            <family val="2"/>
          </rPr>
          <t>Source: FY2019 FS (Killam Q4 12-31-2019 FS FINAL-3.pdf), p.7 (IS)
FV adj other: $0 — no convertible debentures outstanding</t>
        </r>
      </text>
    </comment>
    <comment ref="F32" authorId="0" shapeId="0" xr:uid="{00000000-0006-0000-0300-000083000000}">
      <text>
        <r>
          <rPr>
            <sz val="10"/>
            <rFont val="Arial"/>
            <family val="2"/>
          </rPr>
          <t>Source: FY2020 FS (Killam Q4 12-31-2020 FS for Release-4.pdf)
FV adj other: $0</t>
        </r>
      </text>
    </comment>
    <comment ref="G32" authorId="0" shapeId="0" xr:uid="{00000000-0006-0000-0300-0000A0000000}">
      <text>
        <r>
          <rPr>
            <sz val="10"/>
            <rFont val="Arial"/>
            <family val="2"/>
          </rPr>
          <t>Source: FY2021 FS (KillamQ42021FS-3.pdf)
FV adj other: $0</t>
        </r>
      </text>
    </comment>
    <comment ref="H32" authorId="0" shapeId="0" xr:uid="{00000000-0006-0000-0300-0000BD000000}">
      <text>
        <r>
          <rPr>
            <sz val="10"/>
            <rFont val="Arial"/>
            <family val="2"/>
          </rPr>
          <t>Source: FY2022 FS (KMP.UN - FS Q4 12-31-2022-2.pdf)
FV adj other: $0</t>
        </r>
      </text>
    </comment>
    <comment ref="I32" authorId="0" shapeId="0" xr:uid="{00000000-0006-0000-0300-0000DA000000}">
      <text>
        <r>
          <rPr>
            <sz val="10"/>
            <rFont val="Arial"/>
            <family val="2"/>
          </rPr>
          <t>Source: FY2023 FS (Killam Q4 12-31-2023 FS-2.pdf)
FV adj other: $0</t>
        </r>
      </text>
    </comment>
    <comment ref="J32" authorId="0" shapeId="0" xr:uid="{00000000-0006-0000-0300-0000F8000000}">
      <text>
        <r>
          <rPr>
            <sz val="10"/>
            <rFont val="Arial"/>
            <family val="2"/>
          </rPr>
          <t>Source: FY2024 FS (Killam Q4 12-31-2024 FS - Final-4.pdf)
FV adj other: $0</t>
        </r>
      </text>
    </comment>
    <comment ref="K32" authorId="0" shapeId="0" xr:uid="{00000000-0006-0000-0300-000016010000}">
      <text>
        <r>
          <rPr>
            <sz val="10"/>
            <rFont val="Arial"/>
            <family val="2"/>
          </rPr>
          <t>Source: FY2025 FS (Killam Q4 12-31-2025 FS-3.pdf)
FV adj other: $0</t>
        </r>
      </text>
    </comment>
    <comment ref="B34" authorId="0" shapeId="0" xr:uid="{00000000-0006-0000-0300-00000D000000}">
      <text>
        <r>
          <rPr>
            <sz val="10"/>
            <rFont val="Arial"/>
            <family val="2"/>
          </rPr>
          <t>Source: FY2016 FS (Killam Q4 12-31-2016-FS), p.5
Depreciation $(884)K FY2016, $(802)K FY2015</t>
        </r>
      </text>
    </comment>
    <comment ref="C34" authorId="0" shapeId="0" xr:uid="{00000000-0006-0000-0300-00002A000000}">
      <text>
        <r>
          <rPr>
            <sz val="10"/>
            <rFont val="Arial"/>
            <family val="2"/>
          </rPr>
          <t>Source: FY2017 AR (Killam.AR_.17-3.pdf), p.77 (IS) / p.46 (MDA section)
Depreciation $(787)K FY2017, $(884)K FY2016</t>
        </r>
      </text>
    </comment>
    <comment ref="D34" authorId="0" shapeId="0" xr:uid="{00000000-0006-0000-0300-000048000000}">
      <text>
        <r>
          <rPr>
            <sz val="10"/>
            <rFont val="Arial"/>
            <family val="2"/>
          </rPr>
          <t>Source: FY2018 FS (Killam Q4 12-31-2018-FS Final-3.pdf), p.7 (IS) / FY2018 MDA (Killam Q4 12-31-2018-MDA - FINAL-3.pdf), p.23
Depreciation $(859)K FY2018</t>
        </r>
      </text>
    </comment>
    <comment ref="E34" authorId="0" shapeId="0" xr:uid="{00000000-0006-0000-0300-000066000000}">
      <text>
        <r>
          <rPr>
            <sz val="10"/>
            <rFont val="Arial"/>
            <family val="2"/>
          </rPr>
          <t>Source: FY2019 FS (Killam Q4 12-31-2019 FS FINAL-3.pdf), p.7 (IS)
Depreciation $(720)K FY2019</t>
        </r>
      </text>
    </comment>
    <comment ref="F34" authorId="0" shapeId="0" xr:uid="{00000000-0006-0000-0300-000084000000}">
      <text>
        <r>
          <rPr>
            <sz val="10"/>
            <rFont val="Arial"/>
            <family val="2"/>
          </rPr>
          <t>Source: FY2020 FS (Killam Q4 12-31-2020 FS for Release-4.pdf), p.8 (IS)
Depreciation $(630)K FY2020
Ref: FY2020 FS (Killam Q4 12-31-2020 FS for Release-4.pdf), p.10 (CFS) — CFS shows $717K due to different amort treatment</t>
        </r>
      </text>
    </comment>
    <comment ref="G34" authorId="0" shapeId="0" xr:uid="{00000000-0006-0000-0300-0000A1000000}">
      <text>
        <r>
          <rPr>
            <sz val="10"/>
            <rFont val="Arial"/>
            <family val="2"/>
          </rPr>
          <t>Source: FY2021 FS (KillamQ42021FS-3.pdf), p.2 (IS)
Depreciation $(573)K FY2021</t>
        </r>
      </text>
    </comment>
    <comment ref="H34" authorId="0" shapeId="0" xr:uid="{00000000-0006-0000-0300-0000BE000000}">
      <text>
        <r>
          <rPr>
            <sz val="10"/>
            <rFont val="Arial"/>
            <family val="2"/>
          </rPr>
          <t>Source: FY2022 FS (KMP.UN - FS Q4 12-31-2022-2.pdf), p.8 (IS)
Depreciation $(573)K FY2022</t>
        </r>
      </text>
    </comment>
    <comment ref="I34" authorId="0" shapeId="0" xr:uid="{00000000-0006-0000-0300-0000DB000000}">
      <text>
        <r>
          <rPr>
            <sz val="10"/>
            <rFont val="Arial"/>
            <family val="2"/>
          </rPr>
          <t>Source: FY2023 FS (Killam Q4 12-31-2023 FS-2.pdf) (IS)
Depreciation $(669)K FY2023</t>
        </r>
      </text>
    </comment>
    <comment ref="J34" authorId="0" shapeId="0" xr:uid="{00000000-0006-0000-0300-0000F9000000}">
      <text>
        <r>
          <rPr>
            <sz val="10"/>
            <rFont val="Arial"/>
            <family val="2"/>
          </rPr>
          <t>Source: FY2024 FS (Killam Q4 12-31-2024 FS - Final-4.pdf), p.2 (IS)
Depreciation $(1,065)K FY2024</t>
        </r>
      </text>
    </comment>
    <comment ref="K34" authorId="0" shapeId="0" xr:uid="{00000000-0006-0000-0300-000017010000}">
      <text>
        <r>
          <rPr>
            <sz val="10"/>
            <rFont val="Arial"/>
            <family val="2"/>
          </rPr>
          <t>Source: FY2025 FS (Killam Q4 12-31-2025 FS-3.pdf), p.9 (IS)
Depreciation $(1,017)K FY2025</t>
        </r>
      </text>
    </comment>
    <comment ref="B35" authorId="0" shapeId="0" xr:uid="{00000000-0006-0000-0300-00000E000000}">
      <text>
        <r>
          <rPr>
            <sz val="10"/>
            <rFont val="Arial"/>
            <family val="2"/>
          </rPr>
          <t>Source: FY2016 FS (Killam Q4 12-31-2016-FS), p.5
Loss on disposition $(264)K FY2016, $(109)K FY2015</t>
        </r>
      </text>
    </comment>
    <comment ref="C35" authorId="0" shapeId="0" xr:uid="{00000000-0006-0000-0300-00002B000000}">
      <text>
        <r>
          <rPr>
            <sz val="10"/>
            <rFont val="Arial"/>
            <family val="2"/>
          </rPr>
          <t>Source: FY2017 AR (Killam.AR_.17-3.pdf), p.48 (FFO reconciliation)
Loss on disposition $(259)K FY2017</t>
        </r>
      </text>
    </comment>
    <comment ref="D35" authorId="0" shapeId="0" xr:uid="{00000000-0006-0000-0300-000049000000}">
      <text>
        <r>
          <rPr>
            <sz val="10"/>
            <rFont val="Arial"/>
            <family val="2"/>
          </rPr>
          <t>Source: FY2018 MDA (Killam Q4 12-31-2018-MDA - FINAL-3.pdf), p.25
Loss on disposition $(197)K FY2018</t>
        </r>
      </text>
    </comment>
    <comment ref="E35" authorId="0" shapeId="0" xr:uid="{00000000-0006-0000-0300-000067000000}">
      <text>
        <r>
          <rPr>
            <sz val="10"/>
            <rFont val="Arial"/>
            <family val="2"/>
          </rPr>
          <t>Source: FY2019 FS (Killam Q4 12-31-2019 FS FINAL-3.pdf), p.7 (IS)
Loss on disposition $(1,269)K FY2019</t>
        </r>
      </text>
    </comment>
    <comment ref="F35" authorId="0" shapeId="0" xr:uid="{00000000-0006-0000-0300-000085000000}">
      <text>
        <r>
          <rPr>
            <sz val="10"/>
            <rFont val="Arial"/>
            <family val="2"/>
          </rPr>
          <t>Source: FY2020 FS (Killam Q4 12-31-2020 FS for Release-4.pdf), p.8 (IS)
Loss on disposition: $0 FY2020</t>
        </r>
      </text>
    </comment>
    <comment ref="G35" authorId="0" shapeId="0" xr:uid="{00000000-0006-0000-0300-0000A2000000}">
      <text>
        <r>
          <rPr>
            <sz val="10"/>
            <rFont val="Arial"/>
            <family val="2"/>
          </rPr>
          <t>Source: FY2021 FS (KillamQ42021FS-3.pdf), p.2 (IS)
Loss on disposition: $0 FY2021</t>
        </r>
      </text>
    </comment>
    <comment ref="H35" authorId="0" shapeId="0" xr:uid="{00000000-0006-0000-0300-0000BF000000}">
      <text>
        <r>
          <rPr>
            <sz val="10"/>
            <rFont val="Arial"/>
            <family val="2"/>
          </rPr>
          <t>Source: FY2022 FS (KMP.UN - FS Q4 12-31-2022-2.pdf), p.8 (IS)
Loss on disposition: $0 FY2022</t>
        </r>
      </text>
    </comment>
    <comment ref="I35" authorId="0" shapeId="0" xr:uid="{00000000-0006-0000-0300-0000DC000000}">
      <text>
        <r>
          <rPr>
            <sz val="10"/>
            <rFont val="Arial"/>
            <family val="2"/>
          </rPr>
          <t>Source: FY2023 MDA (Killam Q4 12-31-2023 MDA-2.pdf), p.28
Loss on disposition $(4,021)K FY2023
1,122 units disposed at $168,670K total price (p.41)</t>
        </r>
      </text>
    </comment>
    <comment ref="J35" authorId="0" shapeId="0" xr:uid="{00000000-0006-0000-0300-0000FA000000}">
      <text>
        <r>
          <rPr>
            <sz val="10"/>
            <rFont val="Arial"/>
            <family val="2"/>
          </rPr>
          <t>Source: FY2024 FS (Killam Q4 12-31-2024 FS - Final-4.pdf), p.2 (IS)
Loss on disposition $(3,678)K FY2024</t>
        </r>
      </text>
    </comment>
    <comment ref="K35" authorId="0" shapeId="0" xr:uid="{00000000-0006-0000-0300-000018010000}">
      <text>
        <r>
          <rPr>
            <sz val="10"/>
            <rFont val="Arial"/>
            <family val="2"/>
          </rPr>
          <t>Source: FY2025 FS (Killam Q4 12-31-2025 FS-3.pdf), p.9 (IS)
Loss on disposition $(2,523)K FY2025</t>
        </r>
      </text>
    </comment>
    <comment ref="B36" authorId="0" shapeId="0" xr:uid="{00000000-0006-0000-0300-00000F000000}">
      <text>
        <r>
          <rPr>
            <sz val="10"/>
            <rFont val="Arial"/>
            <family val="2"/>
          </rPr>
          <t>Source: FY2016 FS (Killam Q4 12-31-2016-FS)
Other finance items: $0 — no separate line in FS</t>
        </r>
      </text>
    </comment>
    <comment ref="C36" authorId="0" shapeId="0" xr:uid="{00000000-0006-0000-0300-00002C000000}">
      <text>
        <r>
          <rPr>
            <sz val="10"/>
            <rFont val="Arial"/>
            <family val="2"/>
          </rPr>
          <t>Source: FY2017 AR (Killam.AR_.17-3.pdf)
Other finance items: $0 — no separate line</t>
        </r>
      </text>
    </comment>
    <comment ref="D36" authorId="0" shapeId="0" xr:uid="{00000000-0006-0000-0300-00004A000000}">
      <text>
        <r>
          <rPr>
            <sz val="10"/>
            <rFont val="Arial"/>
            <family val="2"/>
          </rPr>
          <t>Source: FY2018 FS (Killam Q4 12-31-2018-FS Final-3.pdf)
Other finance items: $0</t>
        </r>
      </text>
    </comment>
    <comment ref="E36" authorId="0" shapeId="0" xr:uid="{00000000-0006-0000-0300-000068000000}">
      <text>
        <r>
          <rPr>
            <sz val="10"/>
            <rFont val="Arial"/>
            <family val="2"/>
          </rPr>
          <t>Source: FY2019 FS (Killam Q4 12-31-2019 FS FINAL-3.pdf)
Other finance items: $0</t>
        </r>
      </text>
    </comment>
    <comment ref="F36" authorId="0" shapeId="0" xr:uid="{00000000-0006-0000-0300-000086000000}">
      <text>
        <r>
          <rPr>
            <sz val="10"/>
            <rFont val="Arial"/>
            <family val="2"/>
          </rPr>
          <t>Source: FY2020 FS (Killam Q4 12-31-2020 FS for Release-4.pdf)
Other finance items: $0</t>
        </r>
      </text>
    </comment>
    <comment ref="G36" authorId="0" shapeId="0" xr:uid="{00000000-0006-0000-0300-0000A3000000}">
      <text>
        <r>
          <rPr>
            <sz val="10"/>
            <rFont val="Arial"/>
            <family val="2"/>
          </rPr>
          <t>Source: FY2021 FS (KillamQ42021FS-3.pdf)
Other finance items: $0</t>
        </r>
      </text>
    </comment>
    <comment ref="H36" authorId="0" shapeId="0" xr:uid="{00000000-0006-0000-0300-0000C0000000}">
      <text>
        <r>
          <rPr>
            <sz val="10"/>
            <rFont val="Arial"/>
            <family val="2"/>
          </rPr>
          <t>Source: FY2022 FS (KMP.UN - FS Q4 12-31-2022-2.pdf)
Other finance items: $0</t>
        </r>
      </text>
    </comment>
    <comment ref="I36" authorId="0" shapeId="0" xr:uid="{00000000-0006-0000-0300-0000DD000000}">
      <text>
        <r>
          <rPr>
            <sz val="10"/>
            <rFont val="Arial"/>
            <family val="2"/>
          </rPr>
          <t>Source: FY2023 FS (Killam Q4 12-31-2023 FS-2.pdf)
Other finance items: $0</t>
        </r>
      </text>
    </comment>
    <comment ref="J36" authorId="0" shapeId="0" xr:uid="{00000000-0006-0000-0300-0000FB000000}">
      <text>
        <r>
          <rPr>
            <sz val="10"/>
            <rFont val="Arial"/>
            <family val="2"/>
          </rPr>
          <t>Source: FY2024 FS (Killam Q4 12-31-2024 FS - Final-4.pdf)
Other finance items: $0</t>
        </r>
      </text>
    </comment>
    <comment ref="K36" authorId="0" shapeId="0" xr:uid="{00000000-0006-0000-0300-000019010000}">
      <text>
        <r>
          <rPr>
            <sz val="10"/>
            <rFont val="Arial"/>
            <family val="2"/>
          </rPr>
          <t>Source: FY2025 FS (Killam Q4 12-31-2025 FS-3.pdf)
Other finance items: $0</t>
        </r>
      </text>
    </comment>
    <comment ref="B39" authorId="0" shapeId="0" xr:uid="{00000000-0006-0000-0300-000010000000}">
      <text>
        <r>
          <rPr>
            <sz val="10"/>
            <rFont val="Arial"/>
            <family val="2"/>
          </rPr>
          <t>Source: FY2016 FS (Killam Q4 12-31-2016-FS), p.5
Current income tax $0 FY2016 — REIT-exempt effective Jan 1, 2016</t>
        </r>
      </text>
    </comment>
    <comment ref="C39" authorId="0" shapeId="0" xr:uid="{00000000-0006-0000-0300-00002D000000}">
      <text>
        <r>
          <rPr>
            <sz val="10"/>
            <rFont val="Arial"/>
            <family val="2"/>
          </rPr>
          <t>Source: FY2017 AR (Killam.AR_.17-3.pdf), p.77 (IS)
Current income tax: $0 FY2017 — REIT-exempt</t>
        </r>
      </text>
    </comment>
    <comment ref="D39" authorId="0" shapeId="0" xr:uid="{00000000-0006-0000-0300-00004B000000}">
      <text>
        <r>
          <rPr>
            <sz val="10"/>
            <rFont val="Arial"/>
            <family val="2"/>
          </rPr>
          <t>Source: FY2018 FS (Killam Q4 12-31-2018-FS Final-3.pdf), p.7 (IS)
Current income tax: $0 — REIT-exempt</t>
        </r>
      </text>
    </comment>
    <comment ref="E39" authorId="0" shapeId="0" xr:uid="{00000000-0006-0000-0300-000069000000}">
      <text>
        <r>
          <rPr>
            <sz val="10"/>
            <rFont val="Arial"/>
            <family val="2"/>
          </rPr>
          <t>Source: FY2019 FS (Killam Q4 12-31-2019 FS FINAL-3.pdf), p.7 (IS)
Current income tax: $0 — REIT-exempt</t>
        </r>
      </text>
    </comment>
    <comment ref="F39" authorId="0" shapeId="0" xr:uid="{00000000-0006-0000-0300-000087000000}">
      <text>
        <r>
          <rPr>
            <sz val="10"/>
            <rFont val="Arial"/>
            <family val="2"/>
          </rPr>
          <t>Source: FY2020 FS (Killam Q4 12-31-2020 FS for Release-4.pdf), p.8 (IS)
Current income tax: $0 — REIT-exempt</t>
        </r>
      </text>
    </comment>
    <comment ref="G39" authorId="0" shapeId="0" xr:uid="{00000000-0006-0000-0300-0000A4000000}">
      <text>
        <r>
          <rPr>
            <sz val="10"/>
            <rFont val="Arial"/>
            <family val="2"/>
          </rPr>
          <t>Source: FY2021 FS (KillamQ42021FS-3.pdf), p.2 (IS)
Current income tax: $0 — REIT-exempt</t>
        </r>
      </text>
    </comment>
    <comment ref="H39" authorId="0" shapeId="0" xr:uid="{00000000-0006-0000-0300-0000C1000000}">
      <text>
        <r>
          <rPr>
            <sz val="10"/>
            <rFont val="Arial"/>
            <family val="2"/>
          </rPr>
          <t>Source: FY2022 FS (KMP.UN - FS Q4 12-31-2022-2.pdf), p.8
Current income tax: $0 — REIT-exempt</t>
        </r>
      </text>
    </comment>
    <comment ref="I39" authorId="0" shapeId="0" xr:uid="{00000000-0006-0000-0300-0000DE000000}">
      <text>
        <r>
          <rPr>
            <sz val="10"/>
            <rFont val="Arial"/>
            <family val="2"/>
          </rPr>
          <t>Source: FY2023 FS (Killam Q4 12-31-2023 FS-2.pdf)
Current income tax: $0 — REIT-exempt</t>
        </r>
      </text>
    </comment>
    <comment ref="J39" authorId="0" shapeId="0" xr:uid="{00000000-0006-0000-0300-0000FC000000}">
      <text>
        <r>
          <rPr>
            <sz val="10"/>
            <rFont val="Arial"/>
            <family val="2"/>
          </rPr>
          <t>Source: FY2024 FS (Killam Q4 12-31-2024 FS - Final-4.pdf), p.2 (IS)
Current income tax: $0 — REIT-exempt</t>
        </r>
      </text>
    </comment>
    <comment ref="K39" authorId="0" shapeId="0" xr:uid="{00000000-0006-0000-0300-00001A010000}">
      <text>
        <r>
          <rPr>
            <sz val="10"/>
            <rFont val="Arial"/>
            <family val="2"/>
          </rPr>
          <t>Source: FY2025 FS (Killam Q4 12-31-2025 FS-3.pdf), p.9 (IS)
Current income tax: $0 — REIT-exempt</t>
        </r>
      </text>
    </comment>
    <comment ref="B40" authorId="0" shapeId="0" xr:uid="{00000000-0006-0000-0300-000011000000}">
      <text>
        <r>
          <rPr>
            <sz val="10"/>
            <rFont val="Arial"/>
            <family val="2"/>
          </rPr>
          <t>Source: FY2016 FS (Killam Q4 12-31-2016-FS), p.5
Deferred tax recovery $27,598K FY2016, expense $(6,216)K FY2015</t>
        </r>
      </text>
    </comment>
    <comment ref="C40" authorId="0" shapeId="0" xr:uid="{00000000-0006-0000-0300-00002E000000}">
      <text>
        <r>
          <rPr>
            <sz val="10"/>
            <rFont val="Arial"/>
            <family val="2"/>
          </rPr>
          <t>Source: FY2017 AR (Killam.AR_.17-3.pdf), p.77 (IS) / p.48
Deferred tax expense $(18,659)K FY2017</t>
        </r>
      </text>
    </comment>
    <comment ref="D40" authorId="0" shapeId="0" xr:uid="{00000000-0006-0000-0300-00004C000000}">
      <text>
        <r>
          <rPr>
            <sz val="10"/>
            <rFont val="Arial"/>
            <family val="2"/>
          </rPr>
          <t>Source: FY2018 FS (Killam Q4 12-31-2018-FS Final-3.pdf), p.7 (IS) / FY2018 MDA (Killam Q4 12-31-2018-MDA - FINAL-3.pdf), p.25
Deferred tax expense $(31,478)K FY2018</t>
        </r>
      </text>
    </comment>
    <comment ref="E40" authorId="0" shapeId="0" xr:uid="{00000000-0006-0000-0300-00006A000000}">
      <text>
        <r>
          <rPr>
            <sz val="10"/>
            <rFont val="Arial"/>
            <family val="2"/>
          </rPr>
          <t>Source: FY2019 FS (Killam Q4 12-31-2019 FS FINAL-3.pdf), p.7 (IS)
Deferred tax expense $(40,636)K FY2019</t>
        </r>
      </text>
    </comment>
    <comment ref="F40" authorId="0" shapeId="0" xr:uid="{00000000-0006-0000-0300-000088000000}">
      <text>
        <r>
          <rPr>
            <sz val="10"/>
            <rFont val="Arial"/>
            <family val="2"/>
          </rPr>
          <t>Source: FY2020 FS (Killam Q4 12-31-2020 FS for Release-4.pdf), p.8 (IS)
Deferred tax expense $(9,590)K FY2020
Significant decrease from $(40,636)K FY2019</t>
        </r>
      </text>
    </comment>
    <comment ref="G40" authorId="0" shapeId="0" xr:uid="{00000000-0006-0000-0300-0000A5000000}">
      <text>
        <r>
          <rPr>
            <sz val="10"/>
            <rFont val="Arial"/>
            <family val="2"/>
          </rPr>
          <t>Source: FY2021 FS (KillamQ42021FS-3.pdf), p.2 (IS)
Deferred tax expense $(42,393)K FY2021</t>
        </r>
      </text>
    </comment>
    <comment ref="H40" authorId="0" shapeId="0" xr:uid="{00000000-0006-0000-0300-0000C2000000}">
      <text>
        <r>
          <rPr>
            <sz val="10"/>
            <rFont val="Arial"/>
            <family val="2"/>
          </rPr>
          <t>Source: FY2022 FS (KMP.UN - FS Q4 12-31-2022-2.pdf), p.8 (IS)
Deferred tax expense $(18,813)K FY2022</t>
        </r>
      </text>
    </comment>
    <comment ref="I40" authorId="0" shapeId="0" xr:uid="{00000000-0006-0000-0300-0000DF000000}">
      <text>
        <r>
          <rPr>
            <sz val="10"/>
            <rFont val="Arial"/>
            <family val="2"/>
          </rPr>
          <t>Source: FY2023 FS (Killam Q4 12-31-2023 FS-2.pdf) (IS) / FY2023 MDA (Killam Q4 12-31-2023 MDA-2.pdf)
Deferred tax expense $(33,158)K FY2023</t>
        </r>
      </text>
    </comment>
    <comment ref="J40" authorId="0" shapeId="0" xr:uid="{00000000-0006-0000-0300-0000FD000000}">
      <text>
        <r>
          <rPr>
            <sz val="10"/>
            <rFont val="Arial"/>
            <family val="2"/>
          </rPr>
          <t>Source: FY2024 FS (Killam Q4 12-31-2024 FS - Final-4.pdf), p.2 (IS)
Deferred tax RECOVERY $278,975K FY2024
Massive recovery due to internal reorganization removing taxable subsidiaries (p.27)</t>
        </r>
      </text>
    </comment>
    <comment ref="K40" authorId="0" shapeId="0" xr:uid="{00000000-0006-0000-0300-00001B010000}">
      <text>
        <r>
          <rPr>
            <sz val="10"/>
            <rFont val="Arial"/>
            <family val="2"/>
          </rPr>
          <t>Source: FY2025 FS (Killam Q4 12-31-2025 FS-3.pdf), p.9 (IS)
Deferred tax: $0 FY2025
Taxable subsidiaries removed in FY2024 reorganization — no further deferred tax</t>
        </r>
      </text>
    </comment>
    <comment ref="B50" authorId="0" shapeId="0" xr:uid="{00000000-0006-0000-0300-000012000000}">
      <text>
        <r>
          <rPr>
            <sz val="10"/>
            <rFont val="Arial"/>
            <family val="2"/>
          </rPr>
          <t>Source: FY2016 MD&amp;A (Killam Q4 12-31-2016-MDA), p.5 &amp; p.26
FFO $58,886K FY2016 (REALPAC definition)
Non-IFRS metric — not in FS. Includes add-back of REIT conversion costs $1,548K
FFO/unit diluted $0.86 (WA diluted 73,519K incl convertible deb)</t>
        </r>
      </text>
    </comment>
    <comment ref="C50" authorId="0" shapeId="0" xr:uid="{00000000-0006-0000-0300-00002F000000}">
      <text>
        <r>
          <rPr>
            <sz val="10"/>
            <rFont val="Arial"/>
            <family val="2"/>
          </rPr>
          <t>Source: FY2017 AR (Killam.AR_.17-3.pdf), p.48 (FFO reconciliation, MDA section)
FFO $69,873K FY2017 (REALPAC)
FFO/unit diluted $0.90; WA diluted 78,658K
Note: FY2017 maintenance capex methodology changed to $900/apt unit + $300/MHC site (from $450/$100)</t>
        </r>
      </text>
    </comment>
    <comment ref="D50" authorId="0" shapeId="0" xr:uid="{00000000-0006-0000-0300-00004D000000}">
      <text>
        <r>
          <rPr>
            <sz val="10"/>
            <rFont val="Arial"/>
            <family val="2"/>
          </rPr>
          <t>Source: FY2018 MDA (Killam Q4 12-31-2018-MDA - FINAL-3.pdf), p.25 (FFO reconciliation)
FFO $81,808K FY2018 (REALPAC)
FFO/unit diluted $0.94; WA diluted 87,185K (p.5)</t>
        </r>
      </text>
    </comment>
    <comment ref="E50" authorId="0" shapeId="0" xr:uid="{00000000-0006-0000-0300-00006B000000}">
      <text>
        <r>
          <rPr>
            <sz val="10"/>
            <rFont val="Arial"/>
            <family val="2"/>
          </rPr>
          <t>Source: FY2019 MDA (Killam Q4 12-31-2019 MDA FINAL-3.pdf), p.29 (FFO reconciliation)
FFO $93,884K FY2019 (REALPAC)
FFO/unit diluted $0.98 (p.5)</t>
        </r>
      </text>
    </comment>
    <comment ref="F50" authorId="0" shapeId="0" xr:uid="{00000000-0006-0000-0300-000089000000}">
      <text>
        <r>
          <rPr>
            <sz val="10"/>
            <rFont val="Arial"/>
            <family val="2"/>
          </rPr>
          <t>Source: FY2020 MDA (Killam Q4 12-31-2020 MDA for Release-4.pdf), p.31 (FFO reconciliation)
FFO $104,678K FY2020 (REALPAC)
FFO/unit diluted $1.00 (p.5)</t>
        </r>
      </text>
    </comment>
    <comment ref="G50" authorId="0" shapeId="0" xr:uid="{00000000-0006-0000-0300-0000A6000000}">
      <text>
        <r>
          <rPr>
            <sz val="10"/>
            <rFont val="Arial"/>
            <family val="2"/>
          </rPr>
          <t>Source: FY2021 MDA (KillamQ42021 MDA-3.pdf), p.29 (FFO reconciliation)
FFO $119,235K FY2021 (REALPAC)
FFO/unit diluted $1.07 (p.6)</t>
        </r>
      </text>
    </comment>
    <comment ref="H50" authorId="0" shapeId="0" xr:uid="{00000000-0006-0000-0300-0000C3000000}">
      <text>
        <r>
          <rPr>
            <sz val="10"/>
            <rFont val="Arial"/>
            <family val="2"/>
          </rPr>
          <t>Source: FY2022 MDA (KMP.UN - MDA Q4 12-31-2022-2.pdf), p.30 (FFO reconciliation)
FFO $132,603K FY2022 (REALPAC)
FFO/unit diluted $1.11 (p.6)</t>
        </r>
      </text>
    </comment>
    <comment ref="I50" authorId="0" shapeId="0" xr:uid="{00000000-0006-0000-0300-0000E0000000}">
      <text>
        <r>
          <rPr>
            <sz val="10"/>
            <rFont val="Arial"/>
            <family val="2"/>
          </rPr>
          <t>Source: FY2023 MDA (Killam Q4 12-31-2023 MDA-2.pdf), p.31 (FFO reconciliation)
FFO $139,755K FY2023 (REALPAC)
FFO/unit diluted $1.15 (p.6)</t>
        </r>
      </text>
    </comment>
    <comment ref="J50" authorId="0" shapeId="0" xr:uid="{00000000-0006-0000-0300-0000FE000000}">
      <text>
        <r>
          <rPr>
            <sz val="10"/>
            <rFont val="Arial"/>
            <family val="2"/>
          </rPr>
          <t>Source: FY2024 MDA (Killam Q4 12-31-2024 MDA - Final-4.pdf), p.30 (FFO reconciliation)
FFO $144,914K FY2024 (REALPAC)
FFO/unit diluted $1.18 (p.6)</t>
        </r>
      </text>
    </comment>
    <comment ref="K50" authorId="0" shapeId="0" xr:uid="{00000000-0006-0000-0300-00001C010000}">
      <text>
        <r>
          <rPr>
            <sz val="10"/>
            <rFont val="Arial"/>
            <family val="2"/>
          </rPr>
          <t>Source: FY2025 MDA (Killam Q4 12-31-2025 MDA-2.pdf), p.30 (FFO reconciliation)
FFO $152,776K FY2025 (REALPAC)
FFO/unit diluted $1.23 (p.30)</t>
        </r>
      </text>
    </comment>
    <comment ref="B51" authorId="0" shapeId="0" xr:uid="{00000000-0006-0000-0300-000013000000}">
      <text>
        <r>
          <rPr>
            <sz val="10"/>
            <rFont val="Arial"/>
            <family val="2"/>
          </rPr>
          <t>Source: FY2016 MD&amp;A (Killam Q4 12-31-2016-MDA), p.27
WA diluted units for AFFO: 68,188K FY2016
Excludes convertible debentures (anti-dilutive for AFFO)
Basic: 67,912K (p.25). FFO diluted: 73,519K (includes deb)
Ref: FY2016 FS (Killam Q4 12-31-2016-FS), p.23 — trust units 67,869,802; exchangeable units 3,865,836</t>
        </r>
      </text>
    </comment>
    <comment ref="C51" authorId="0" shapeId="0" xr:uid="{00000000-0006-0000-0300-000030000000}">
      <text>
        <r>
          <rPr>
            <sz val="10"/>
            <rFont val="Arial"/>
            <family val="2"/>
          </rPr>
          <t>Source: FY2017 AR (Killam.AR_.17-3.pdf), p.48 (MDA section)
WA diluted units 78,658K FY2017
Ref: p.78 — trust units 80,565K + exchangeable 3,863K outstanding at year-end</t>
        </r>
      </text>
    </comment>
    <comment ref="D51" authorId="0" shapeId="0" xr:uid="{00000000-0006-0000-0300-00004E000000}">
      <text>
        <r>
          <rPr>
            <sz val="10"/>
            <rFont val="Arial"/>
            <family val="2"/>
          </rPr>
          <t>Source: FY2018 MDA (Killam Q4 12-31-2018-MDA - FINAL-3.pdf), p.5
WA diluted units 87,185K FY2018
Ref: FY2018 FS (Killam Q4 12-31-2018-FS Final-3.pdf), p.24 — trust units 86,059K + exch 4,154K = 90,212K outstanding at year-end</t>
        </r>
      </text>
    </comment>
    <comment ref="E51" authorId="0" shapeId="0" xr:uid="{00000000-0006-0000-0300-00006C000000}">
      <text>
        <r>
          <rPr>
            <sz val="10"/>
            <rFont val="Arial"/>
            <family val="2"/>
          </rPr>
          <t>Source: FY2019 MDA (Killam Q4 12-31-2019 MDA FINAL-3.pdf), p.5
WA diluted units 95,914K FY2019
Ref: FY2019 FS (Killam Q4 12-31-2019 FS FINAL-3.pdf), p.25 — trust units 97,863K + exch 4,154K = 102,017K outstanding at year-end</t>
        </r>
      </text>
    </comment>
    <comment ref="F51" authorId="0" shapeId="0" xr:uid="{00000000-0006-0000-0300-00008A000000}">
      <text>
        <r>
          <rPr>
            <sz val="10"/>
            <rFont val="Arial"/>
            <family val="2"/>
          </rPr>
          <t>Source: FY2020 MDA (Killam Q4 12-31-2020 MDA for Release-4.pdf), p.5
WA diluted units 104,503K FY2020
Ref: FY2020 FS (Killam Q4 12-31-2020 FS for Release-4.pdf), p.22 — trust units 103,212K + exch 4,102K = 107,314K outstanding at year-end
Note: FY2020 MDA (Killam Q4 12-31-2020 MDA for Release-4.pdf) p.47 shows 107,300K diluted for different calculation</t>
        </r>
      </text>
    </comment>
    <comment ref="G51" authorId="0" shapeId="0" xr:uid="{00000000-0006-0000-0300-0000A7000000}">
      <text>
        <r>
          <rPr>
            <sz val="10"/>
            <rFont val="Arial"/>
            <family val="2"/>
          </rPr>
          <t>Source: FY2021 MDA (KillamQ42021 MDA-3.pdf), p.6
WA diluted units 111,626K FY2021
Ref: FY2021 FS (KillamQ42021FS-3.pdf), p.22 — trust 110,557K + exch 4,004K = 114,562K outstanding at year-end</t>
        </r>
      </text>
    </comment>
    <comment ref="H51" authorId="0" shapeId="0" xr:uid="{00000000-0006-0000-0300-0000C4000000}">
      <text>
        <r>
          <rPr>
            <sz val="10"/>
            <rFont val="Arial"/>
            <family val="2"/>
          </rPr>
          <t>Source: FY2022 MDA (KMP.UN - MDA Q4 12-31-2022-2.pdf), p.6
WA diluted units 119,637K FY2022
Ref: FY2022 FS (KMP.UN - FS Q4 12-31-2022-2.pdf), p.23 — trust 116,801K + exch 4,004K = 120,805K outstanding
Note: FY2022 MDA (KMP.UN - MDA Q4 12-31-2022-2.pdf) p.6 shows 119,678K; p.1 shows 119,643K — minor rounding</t>
        </r>
      </text>
    </comment>
    <comment ref="I51" authorId="0" shapeId="0" xr:uid="{00000000-0006-0000-0300-0000E1000000}">
      <text>
        <r>
          <rPr>
            <sz val="10"/>
            <rFont val="Arial"/>
            <family val="2"/>
          </rPr>
          <t>Source: FY2023 MDA (Killam Q4 12-31-2023 MDA-2.pdf), p.6
WA diluted units 121,656K FY2023
Ref: FY2023 MDA (Killam Q4 12-31-2023 MDA-2.pdf), p.30 — trust 118,298K + exch 3,898K = 122,196K outstanding at year-end</t>
        </r>
      </text>
    </comment>
    <comment ref="J51" authorId="0" shapeId="0" xr:uid="{00000000-0006-0000-0300-0000FF000000}">
      <text>
        <r>
          <rPr>
            <sz val="10"/>
            <rFont val="Arial"/>
            <family val="2"/>
          </rPr>
          <t>Source: FY2024 MDA (Killam Q4 12-31-2024 MDA - Final-4.pdf), p.6
WA diluted units 122,405K FY2024
Ref: FY2024 FS (Killam Q4 12-31-2024 FS - Final-4.pdf), p.23 — trust 119,621K + exch 3,898K = 123,519K outstanding at year-end</t>
        </r>
      </text>
    </comment>
    <comment ref="K51" authorId="0" shapeId="0" xr:uid="{00000000-0006-0000-0300-00001D010000}">
      <text>
        <r>
          <rPr>
            <sz val="10"/>
            <rFont val="Arial"/>
            <family val="2"/>
          </rPr>
          <t>Source: FY2025 MDA (Killam Q4 12-31-2025 MDA-2.pdf), p.29
WA diluted units 124,547K FY2025
Ref: FY2025 FS (Killam Q4 12-31-2025 FS-3.pdf), p.23 — trust 121,458K + exch 3,363K = 124,821K outstanding at year-end</t>
        </r>
      </text>
    </comment>
    <comment ref="B66" authorId="0" shapeId="0" xr:uid="{00000000-0006-0000-0300-000014000000}">
      <text>
        <r>
          <rPr>
            <sz val="10"/>
            <rFont val="Arial"/>
            <family val="2"/>
          </rPr>
          <t>Source: FY2016 MD&amp;A (Killam Q4 12-31-2016-MDA), p.27 &amp; p.28
Annualized distribution $0.60/unit FY2016, monthly $0.05
Increased 3.3% to $0.62 effective March 2017 (p.49)</t>
        </r>
      </text>
    </comment>
    <comment ref="C66" authorId="0" shapeId="0" xr:uid="{00000000-0006-0000-0300-000031000000}">
      <text>
        <r>
          <rPr>
            <sz val="10"/>
            <rFont val="Arial"/>
            <family val="2"/>
          </rPr>
          <t>Source: FY2017 AR (Killam.AR_.17-3.pdf), p.61 (MDA section)
Distribution $0.62/unit annualized FY2017 ($0.05167/month)
Increased from $0.60 effective March 2017</t>
        </r>
      </text>
    </comment>
    <comment ref="D66" authorId="0" shapeId="0" xr:uid="{00000000-0006-0000-0300-00004F000000}">
      <text>
        <r>
          <rPr>
            <sz val="10"/>
            <rFont val="Arial"/>
            <family val="2"/>
          </rPr>
          <t>Source: FY2018 MDA (Killam Q4 12-31-2018-MDA - FINAL-3.pdf), p.39
Distribution $0.64/unit annualized FY2018
Increased from $0.62 effective Jan 2018</t>
        </r>
      </text>
    </comment>
    <comment ref="E66" authorId="0" shapeId="0" xr:uid="{00000000-0006-0000-0300-00006D000000}">
      <text>
        <r>
          <rPr>
            <sz val="10"/>
            <rFont val="Arial"/>
            <family val="2"/>
          </rPr>
          <t>Source: FY2019 MDA (Killam Q4 12-31-2019 MDA FINAL-3.pdf), p.5 &amp; p.43
Distribution $0.66/unit annualized FY2019
Increased from $0.64 effective March 2019 (3.1% increase)</t>
        </r>
      </text>
    </comment>
    <comment ref="F66" authorId="0" shapeId="0" xr:uid="{00000000-0006-0000-0300-00008B000000}">
      <text>
        <r>
          <rPr>
            <sz val="10"/>
            <rFont val="Arial"/>
            <family val="2"/>
          </rPr>
          <t>Source: FY2020 MDA (Killam Q4 12-31-2020 MDA for Release-4.pdf), p.5
Distribution $0.68/unit annualized FY2020
Increased from $0.66 effective March 2020 (3.0% increase)</t>
        </r>
      </text>
    </comment>
    <comment ref="G66" authorId="0" shapeId="0" xr:uid="{00000000-0006-0000-0300-0000A8000000}">
      <text>
        <r>
          <rPr>
            <sz val="10"/>
            <rFont val="Arial"/>
            <family val="2"/>
          </rPr>
          <t>Source: FY2021 MDA (KillamQ42021 MDA-3.pdf), p.6
Distribution $0.69/unit blended FY2021
$0.68 Jan-Aug, increased 2.9% to $0.70 effective September 2021</t>
        </r>
      </text>
    </comment>
    <comment ref="H66" authorId="0" shapeId="0" xr:uid="{00000000-0006-0000-0300-0000C5000000}">
      <text>
        <r>
          <rPr>
            <sz val="10"/>
            <rFont val="Arial"/>
            <family val="2"/>
          </rPr>
          <t>Source: FY2022 MDA (KMP.UN - MDA Q4 12-31-2022-2.pdf), p.6
Distribution $0.70/unit annualized FY2022
$0.70 full year (increased from $0.69 in Sept 2021)</t>
        </r>
      </text>
    </comment>
    <comment ref="I66" authorId="0" shapeId="0" xr:uid="{00000000-0006-0000-0300-0000E2000000}">
      <text>
        <r>
          <rPr>
            <sz val="10"/>
            <rFont val="Arial"/>
            <family val="2"/>
          </rPr>
          <t>Source: FY2023 MDA (Killam Q4 12-31-2023 MDA-2.pdf), p.34
Distribution $0.70/unit annualized FY2023 (unchanged from FY2022)</t>
        </r>
      </text>
    </comment>
    <comment ref="J66" authorId="0" shapeId="0" xr:uid="{00000000-0006-0000-0300-000000010000}">
      <text>
        <r>
          <rPr>
            <sz val="10"/>
            <rFont val="Arial"/>
            <family val="2"/>
          </rPr>
          <t>Source: FY2024 MDA (Killam Q4 12-31-2024 MDA - Final-4.pdf), p.6
Distribution $0.72/unit annualized FY2024
Increased from $0.70 effective Jan 2024 (2.9% increase)</t>
        </r>
      </text>
    </comment>
    <comment ref="K66" authorId="0" shapeId="0" xr:uid="{00000000-0006-0000-0300-00001E010000}">
      <text>
        <r>
          <rPr>
            <sz val="10"/>
            <rFont val="Arial"/>
            <family val="2"/>
          </rPr>
          <t>Source: FY2025 MDA (Killam Q4 12-31-2025 MDA-2.pdf), p.6 &amp; p.32
Distribution $0.72/unit annualized FY2025
Unchanged from FY2024 ($0.72 effective Jan 2024)</t>
        </r>
      </text>
    </comment>
    <comment ref="B71" authorId="0" shapeId="0" xr:uid="{00000000-0006-0000-0300-000015000000}">
      <text>
        <r>
          <rPr>
            <sz val="10"/>
            <rFont val="Arial"/>
            <family val="2"/>
          </rPr>
          <t>Source: FY2016 MD&amp;A (Killam Q4 12-31-2016-MDA), p.27
Maintenance capex: Apt $(6,023)K + MHC $(516)K = $(6,539)K FY2016
Based on $450/apt unit × ~13,371 WA units + $100/MHC site × 5,165 sites</t>
        </r>
      </text>
    </comment>
    <comment ref="C71" authorId="0" shapeId="0" xr:uid="{00000000-0006-0000-0300-000032000000}">
      <text>
        <r>
          <rPr>
            <sz val="10"/>
            <rFont val="Arial"/>
            <family val="2"/>
          </rPr>
          <t>Source: FY2017 AR (Killam.AR_.17-3.pdf), p.50 (AFFO reconciliation, MDA section)
Maintenance capex: Apt $(12,341)K + MHC $(1,550)K = $(13,891)K
Based on $900/apt unit + $300/MHC site (new methodology from FY2017)</t>
        </r>
      </text>
    </comment>
    <comment ref="D71" authorId="0" shapeId="0" xr:uid="{00000000-0006-0000-0300-000050000000}">
      <text>
        <r>
          <rPr>
            <sz val="10"/>
            <rFont val="Arial"/>
            <family val="2"/>
          </rPr>
          <t>Source: FY2018 MDA (Killam Q4 12-31-2018-MDA - FINAL-3.pdf), p.27 (AFFO reconciliation)
Maintenance capex $(15,236)K FY2018
Based on $900/apt unit + $300/MHC site</t>
        </r>
      </text>
    </comment>
    <comment ref="E71" authorId="0" shapeId="0" xr:uid="{00000000-0006-0000-0300-00006E000000}">
      <text>
        <r>
          <rPr>
            <sz val="10"/>
            <rFont val="Arial"/>
            <family val="2"/>
          </rPr>
          <t>Source: FY2019 MDA (Killam Q4 12-31-2019 MDA FINAL-3.pdf), p.31 (AFFO reconciliation)
Maintenance capex $(16,237)K = Apt $(13,953) + MHC $(1,810) + Comm $(474)
Based on three-year historical average methodology</t>
        </r>
      </text>
    </comment>
    <comment ref="F71" authorId="0" shapeId="0" xr:uid="{00000000-0006-0000-0300-00008C000000}">
      <text>
        <r>
          <rPr>
            <sz val="10"/>
            <rFont val="Arial"/>
            <family val="2"/>
          </rPr>
          <t>Source: FY2020 MDA (Killam Q4 12-31-2020 MDA for Release-4.pdf), p.33 (AFFO reconciliation)
Maintenance capex $(16,860)K FY2020
Based on $900/apt unit + $300/MHC site + $0.80/comm SF (three-year avg)</t>
        </r>
      </text>
    </comment>
    <comment ref="G71" authorId="0" shapeId="0" xr:uid="{00000000-0006-0000-0300-0000A9000000}">
      <text>
        <r>
          <rPr>
            <sz val="10"/>
            <rFont val="Arial"/>
            <family val="2"/>
          </rPr>
          <t>Source: FY2021 MDA (KillamQ42021 MDA-3.pdf), p.31 (AFFO reconciliation)
Maintenance capex $(18,023)K FY2021
Based on $900/apt unit + $300/MHC site + $0.80/comm SF</t>
        </r>
      </text>
    </comment>
    <comment ref="H71" authorId="0" shapeId="0" xr:uid="{00000000-0006-0000-0300-0000C6000000}">
      <text>
        <r>
          <rPr>
            <sz val="10"/>
            <rFont val="Arial"/>
            <family val="2"/>
          </rPr>
          <t>Source: FY2022 MDA (KMP.UN - MDA Q4 12-31-2022-2.pdf), p.32 (AFFO reconciliation)
Maintenance capex $(20,318)K FY2022</t>
        </r>
      </text>
    </comment>
    <comment ref="I71" authorId="0" shapeId="0" xr:uid="{00000000-0006-0000-0300-0000E3000000}">
      <text>
        <r>
          <rPr>
            <sz val="10"/>
            <rFont val="Arial"/>
            <family val="2"/>
          </rPr>
          <t>Source: FY2023 MDA (Killam Q4 12-31-2023 MDA-2.pdf), p.33 (AFFO reconciliation)
Maintenance capex $(21,587)K FY2023
Per unit: $1,025 reserve (p.32)</t>
        </r>
      </text>
    </comment>
    <comment ref="J71" authorId="0" shapeId="0" xr:uid="{00000000-0006-0000-0300-000001010000}">
      <text>
        <r>
          <rPr>
            <sz val="10"/>
            <rFont val="Arial"/>
            <family val="2"/>
          </rPr>
          <t>Source: FY2024 MDA (Killam Q4 12-31-2024 MDA - Final-4.pdf), p.32 (AFFO reconciliation)
Maintenance capex $(22,722)K FY2024</t>
        </r>
      </text>
    </comment>
    <comment ref="K71" authorId="0" shapeId="0" xr:uid="{00000000-0006-0000-0300-00001F010000}">
      <text>
        <r>
          <rPr>
            <sz val="10"/>
            <rFont val="Arial"/>
            <family val="2"/>
          </rPr>
          <t>Source: FY2025 MDA (Killam Q4 12-31-2025 MDA-2.pdf), p.32 (AFFO reconciliation)
Maintenance capex $(22,437)K FY2025</t>
        </r>
      </text>
    </comment>
    <comment ref="B79" authorId="0" shapeId="0" xr:uid="{00000000-0006-0000-0300-000016000000}">
      <text>
        <r>
          <rPr>
            <sz val="10"/>
            <rFont val="Arial"/>
            <family val="2"/>
          </rPr>
          <t>Source: FY2016 MD&amp;A (Killam Q4 12-31-2016-MDA), p.26 (FFO reconciliation)
FV adj UBC add-back: derived from FFO reconciliation
FS p.5 shows combined $(826)K; FFO reconciliation separates FV from cash comp</t>
        </r>
      </text>
    </comment>
    <comment ref="C79" authorId="0" shapeId="0" xr:uid="{00000000-0006-0000-0300-000033000000}">
      <text>
        <r>
          <rPr>
            <sz val="10"/>
            <rFont val="Arial"/>
            <family val="2"/>
          </rPr>
          <t>Source: FY2017 AR (Killam.AR_.17-3.pdf), p.48 (FFO reconciliation)
FV adj UBC: derived. FS shows combined $(534)K FV adj; FFO reconciliation separates components</t>
        </r>
      </text>
    </comment>
    <comment ref="D79" authorId="0" shapeId="0" xr:uid="{00000000-0006-0000-0300-000051000000}">
      <text>
        <r>
          <rPr>
            <sz val="10"/>
            <rFont val="Arial"/>
            <family val="2"/>
          </rPr>
          <t>Source: FY2018 MDA (Killam Q4 12-31-2018-MDA - FINAL-3.pdf), p.25 (FFO reconciliation)
FV adj UBC: derived from FFO reconciliation line items</t>
        </r>
      </text>
    </comment>
    <comment ref="E79" authorId="0" shapeId="0" xr:uid="{00000000-0006-0000-0300-00006F000000}">
      <text>
        <r>
          <rPr>
            <sz val="10"/>
            <rFont val="Arial"/>
            <family val="2"/>
          </rPr>
          <t>Source: FY2019 MDA (Killam Q4 12-31-2019 MDA FINAL-3.pdf), p.29 (FFO reconciliation)
FV adj UBC $1,590K add-back</t>
        </r>
      </text>
    </comment>
    <comment ref="F79" authorId="0" shapeId="0" xr:uid="{00000000-0006-0000-0300-00008D000000}">
      <text>
        <r>
          <rPr>
            <sz val="10"/>
            <rFont val="Arial"/>
            <family val="2"/>
          </rPr>
          <t>Source: FY2020 MDA (Killam Q4 12-31-2020 MDA for Release-4.pdf), p.31 (FFO reconciliation)
FV adj UBC $(59)K add-back (gain reversed)</t>
        </r>
      </text>
    </comment>
    <comment ref="G79" authorId="0" shapeId="0" xr:uid="{00000000-0006-0000-0300-0000AA000000}">
      <text>
        <r>
          <rPr>
            <sz val="10"/>
            <rFont val="Arial"/>
            <family val="2"/>
          </rPr>
          <t>Source: FY2021 MDA (KillamQ42021 MDA-3.pdf), p.29 (FFO reconciliation)
FV adj UBC add-back</t>
        </r>
      </text>
    </comment>
    <comment ref="H79" authorId="0" shapeId="0" xr:uid="{00000000-0006-0000-0300-0000C7000000}">
      <text>
        <r>
          <rPr>
            <sz val="10"/>
            <rFont val="Arial"/>
            <family val="2"/>
          </rPr>
          <t>Source: FY2022 MDA (KMP.UN - MDA Q4 12-31-2022-2.pdf), p.30 (FFO reconciliation)
FV adj UBC add-back</t>
        </r>
      </text>
    </comment>
    <comment ref="I79" authorId="0" shapeId="0" xr:uid="{00000000-0006-0000-0300-0000E4000000}">
      <text>
        <r>
          <rPr>
            <sz val="10"/>
            <rFont val="Arial"/>
            <family val="2"/>
          </rPr>
          <t>Source: FY2023 MDA (Killam Q4 12-31-2023 MDA-2.pdf), p.31 (FFO reconciliation)
FV adj UBC $330K add-back</t>
        </r>
      </text>
    </comment>
    <comment ref="J79" authorId="0" shapeId="0" xr:uid="{00000000-0006-0000-0300-000002010000}">
      <text>
        <r>
          <rPr>
            <sz val="10"/>
            <rFont val="Arial"/>
            <family val="2"/>
          </rPr>
          <t>Source: FY2024 MDA (Killam Q4 12-31-2024 MDA - Final-4.pdf), p.30 (FFO reconciliation)
FV adj UBC add-back</t>
        </r>
      </text>
    </comment>
    <comment ref="K79" authorId="0" shapeId="0" xr:uid="{00000000-0006-0000-0300-000020010000}">
      <text>
        <r>
          <rPr>
            <sz val="10"/>
            <rFont val="Arial"/>
            <family val="2"/>
          </rPr>
          <t>Source: FY2025 MDA (Killam Q4 12-31-2025 MDA-2.pdf), p.30 (FFO reconciliation)
FV adj UBC $(941)K reversed (gain flipped back)</t>
        </r>
      </text>
    </comment>
    <comment ref="B82" authorId="0" shapeId="0" xr:uid="{00000000-0006-0000-0300-000017000000}">
      <text>
        <r>
          <rPr>
            <sz val="10"/>
            <rFont val="Arial"/>
            <family val="2"/>
          </rPr>
          <t>Source: FY2016 FS (Killam Q4 12-31-2016-FS), p.27 (Note: interest detail)
Interest on exchangeable units $2,659K FY2016
Also in: FY2016 MD&amp;A (Killam Q4 12-31-2016-MDA), p.22 &amp; p.26 (FFO reconciliation)</t>
        </r>
      </text>
    </comment>
    <comment ref="C82" authorId="0" shapeId="0" xr:uid="{00000000-0006-0000-0300-000034000000}">
      <text>
        <r>
          <rPr>
            <sz val="10"/>
            <rFont val="Arial"/>
            <family val="2"/>
          </rPr>
          <t>Source: FY2017 AR (Killam.AR_.17-3.pdf), p.79 (CFS) / p.45 (interest detail)
Interest on exchangeable units $2,383K FY2017</t>
        </r>
      </text>
    </comment>
    <comment ref="D82" authorId="0" shapeId="0" xr:uid="{00000000-0006-0000-0300-000052000000}">
      <text>
        <r>
          <rPr>
            <sz val="10"/>
            <rFont val="Arial"/>
            <family val="2"/>
          </rPr>
          <t>Source: FY2018 FS (Killam Q4 12-31-2018-FS Final-3.pdf), p.9 (CFS) / FY2018 MDA (Killam Q4 12-31-2018-MDA - FINAL-3.pdf), p.22
Interest on exchangeable units $2,453K FY2018</t>
        </r>
      </text>
    </comment>
    <comment ref="E82" authorId="0" shapeId="0" xr:uid="{00000000-0006-0000-0300-000070000000}">
      <text>
        <r>
          <rPr>
            <sz val="10"/>
            <rFont val="Arial"/>
            <family val="2"/>
          </rPr>
          <t>Source: FY2019 FS (Killam Q4 12-31-2019 FS FINAL-3.pdf), p.9 (CFS) / FY2019 MDA (Killam Q4 12-31-2019 MDA FINAL-3.pdf), p.26
Interest on exchangeable units $2,727K FY2019</t>
        </r>
      </text>
    </comment>
    <comment ref="F82" authorId="0" shapeId="0" xr:uid="{00000000-0006-0000-0300-00008E000000}">
      <text>
        <r>
          <rPr>
            <sz val="10"/>
            <rFont val="Arial"/>
            <family val="2"/>
          </rPr>
          <t>Source: FY2020 FS (Killam Q4 12-31-2020 FS for Release-4.pdf), p.10 (CFS)
Interest on exchangeable units $2,784K FY2020</t>
        </r>
      </text>
    </comment>
    <comment ref="G82" authorId="0" shapeId="0" xr:uid="{00000000-0006-0000-0300-0000AB000000}">
      <text>
        <r>
          <rPr>
            <sz val="10"/>
            <rFont val="Arial"/>
            <family val="2"/>
          </rPr>
          <t>Source: FY2021 FS (KillamQ42021FS-3.pdf), p.4 (CFS) / p.25
Interest on exchangeable units $2,766K FY2021</t>
        </r>
      </text>
    </comment>
    <comment ref="H82" authorId="0" shapeId="0" xr:uid="{00000000-0006-0000-0300-0000C8000000}">
      <text>
        <r>
          <rPr>
            <sz val="10"/>
            <rFont val="Arial"/>
            <family val="2"/>
          </rPr>
          <t>Source: FY2022 FS (KMP.UN - FS Q4 12-31-2022-2.pdf), p.10 (CFS) / p.26
Interest on exchangeable units $2,790K FY2022</t>
        </r>
      </text>
    </comment>
    <comment ref="I82" authorId="0" shapeId="0" xr:uid="{00000000-0006-0000-0300-0000E5000000}">
      <text>
        <r>
          <rPr>
            <sz val="10"/>
            <rFont val="Arial"/>
            <family val="2"/>
          </rPr>
          <t>Source: FY2023 MDA (Killam Q4 12-31-2023 MDA-2.pdf), p.28 &amp; p.31
Interest on exchangeable units $2,729K FY2023</t>
        </r>
      </text>
    </comment>
    <comment ref="J82" authorId="0" shapeId="0" xr:uid="{00000000-0006-0000-0300-000003010000}">
      <text>
        <r>
          <rPr>
            <sz val="10"/>
            <rFont val="Arial"/>
            <family val="2"/>
          </rPr>
          <t>Source: FY2024 FS (Killam Q4 12-31-2024 FS - Final-4.pdf), p.4 (CFS) / FY2024 MDA (Killam Q4 12-31-2024 MDA - Final-4.pdf), p.27
Interest on exchangeable units $2,742K FY2024</t>
        </r>
      </text>
    </comment>
    <comment ref="K82" authorId="0" shapeId="0" xr:uid="{00000000-0006-0000-0300-000021010000}">
      <text>
        <r>
          <rPr>
            <sz val="10"/>
            <rFont val="Arial"/>
            <family val="2"/>
          </rPr>
          <t>Source: FY2025 FS (Killam Q4 12-31-2025 FS-3.pdf), p.11 (CFS)
Interest on exchangeable units $2,550K FY2025</t>
        </r>
      </text>
    </comment>
    <comment ref="B84" authorId="0" shapeId="0" xr:uid="{00000000-0006-0000-0300-000018000000}">
      <text>
        <r>
          <rPr>
            <sz val="10"/>
            <rFont val="Arial"/>
            <family val="2"/>
          </rPr>
          <t>Source: FY2016 MD&amp;A (Killam Q4 12-31-2016-MDA), p.26 (FFO reconciliation)
Depreciation on owner-occupied building $171K FY2016
Separated from total depreciation of $884K for FFO purposes</t>
        </r>
      </text>
    </comment>
    <comment ref="C84" authorId="0" shapeId="0" xr:uid="{00000000-0006-0000-0300-000035000000}">
      <text>
        <r>
          <rPr>
            <sz val="10"/>
            <rFont val="Arial"/>
            <family val="2"/>
          </rPr>
          <t>Source: FY2017 AR (Killam.AR_.17-3.pdf), p.48 (FFO reconciliation)
Depreciation on owner-occupied building $168K FY2017</t>
        </r>
      </text>
    </comment>
    <comment ref="D84" authorId="0" shapeId="0" xr:uid="{00000000-0006-0000-0300-000053000000}">
      <text>
        <r>
          <rPr>
            <sz val="10"/>
            <rFont val="Arial"/>
            <family val="2"/>
          </rPr>
          <t>Source: FY2018 MDA (Killam Q4 12-31-2018-MDA - FINAL-3.pdf), p.25 (FFO reconciliation)
Depreciation on owner-occupied building: derived from FFO add-back</t>
        </r>
      </text>
    </comment>
    <comment ref="E84" authorId="0" shapeId="0" xr:uid="{00000000-0006-0000-0300-000071000000}">
      <text>
        <r>
          <rPr>
            <sz val="10"/>
            <rFont val="Arial"/>
            <family val="2"/>
          </rPr>
          <t>Source: FY2019 MDA (Killam Q4 12-31-2019 MDA FINAL-3.pdf), p.29 (FFO reconciliation)
Other adjustments $(4,723)K — includes depreciation on owner-occupied, SL rent adj, lease liability interest, other</t>
        </r>
      </text>
    </comment>
    <comment ref="F84" authorId="0" shapeId="0" xr:uid="{00000000-0006-0000-0300-00008F000000}">
      <text>
        <r>
          <rPr>
            <sz val="10"/>
            <rFont val="Arial"/>
            <family val="2"/>
          </rPr>
          <t>Source: FY2020 MDA (Killam Q4 12-31-2020 MDA for Release-4.pdf), p.31 (FFO reconciliation)
Other adjustments $177K — depreciation on owner-occupied + lease liability interest + other</t>
        </r>
      </text>
    </comment>
    <comment ref="G84" authorId="0" shapeId="0" xr:uid="{00000000-0006-0000-0300-0000AC000000}">
      <text>
        <r>
          <rPr>
            <sz val="10"/>
            <rFont val="Arial"/>
            <family val="2"/>
          </rPr>
          <t>Source: FY2021 MDA (KillamQ42021 MDA-3.pdf), p.29 (FFO reconciliation)
Other adjustments — depreciation on owner-occupied + lease interest + other</t>
        </r>
      </text>
    </comment>
    <comment ref="H84" authorId="0" shapeId="0" xr:uid="{00000000-0006-0000-0300-0000C9000000}">
      <text>
        <r>
          <rPr>
            <sz val="10"/>
            <rFont val="Arial"/>
            <family val="2"/>
          </rPr>
          <t>Source: FY2022 MDA (KMP.UN - MDA Q4 12-31-2022-2.pdf), p.30 (FFO reconciliation)
Other adjustments</t>
        </r>
      </text>
    </comment>
    <comment ref="I84" authorId="0" shapeId="0" xr:uid="{00000000-0006-0000-0300-0000E6000000}">
      <text>
        <r>
          <rPr>
            <sz val="10"/>
            <rFont val="Arial"/>
            <family val="2"/>
          </rPr>
          <t>Source: FY2023 MDA (Killam Q4 12-31-2023 MDA-2.pdf), p.31 (FFO reconciliation)
Other adjustments $542K</t>
        </r>
      </text>
    </comment>
    <comment ref="J84" authorId="0" shapeId="0" xr:uid="{00000000-0006-0000-0300-000004010000}">
      <text>
        <r>
          <rPr>
            <sz val="10"/>
            <rFont val="Arial"/>
            <family val="2"/>
          </rPr>
          <t>Source: FY2024 MDA (Killam Q4 12-31-2024 MDA - Final-4.pdf), p.30 (FFO reconciliation)
Other adjustments</t>
        </r>
      </text>
    </comment>
    <comment ref="K84" authorId="0" shapeId="0" xr:uid="{00000000-0006-0000-0300-000022010000}">
      <text>
        <r>
          <rPr>
            <sz val="10"/>
            <rFont val="Arial"/>
            <family val="2"/>
          </rPr>
          <t>Source: FY2025 MDA (Killam Q4 12-31-2025 MDA-2.pdf), p.30 (FFO reconciliation)
Other adjustments $374K</t>
        </r>
      </text>
    </comment>
    <comment ref="B91" authorId="0" shapeId="0" xr:uid="{00000000-0006-0000-0300-000019000000}">
      <text>
        <r>
          <rPr>
            <sz val="10"/>
            <rFont val="Arial"/>
            <family val="2"/>
          </rPr>
          <t>Source: Not applicable FY2016
Commercial SL rent adjustment: $0 — first disclosed as AFFO adj in FY2019</t>
        </r>
      </text>
    </comment>
    <comment ref="C91" authorId="0" shapeId="0" xr:uid="{00000000-0006-0000-0300-000036000000}">
      <text>
        <r>
          <rPr>
            <sz val="10"/>
            <rFont val="Arial"/>
            <family val="2"/>
          </rPr>
          <t>Source: Not applicable FY2017
Commercial SL rent adj: $0 — first disclosed FY2019</t>
        </r>
      </text>
    </comment>
    <comment ref="D91" authorId="0" shapeId="0" xr:uid="{00000000-0006-0000-0300-000054000000}">
      <text>
        <r>
          <rPr>
            <sz val="10"/>
            <rFont val="Arial"/>
            <family val="2"/>
          </rPr>
          <t>Source: Not applicable FY2018
Commercial SL rent adj: $0 — first disclosed FY2019</t>
        </r>
      </text>
    </comment>
    <comment ref="E91" authorId="0" shapeId="0" xr:uid="{00000000-0006-0000-0300-000072000000}">
      <text>
        <r>
          <rPr>
            <sz val="10"/>
            <rFont val="Arial"/>
            <family val="2"/>
          </rPr>
          <t>Source: FY2019 MDA (Killam Q4 12-31-2019 MDA FINAL-3.pdf), p.31 (AFFO reconciliation)
Commercial SL rent adjustment $(423)K FY2019
First year this adjustment appears in AFFO calc
Ref: FY2019 FS (Killam Q4 12-31-2019 FS FINAL-3.pdf), p.9 — SL rent $(423)K in CFS adjustments</t>
        </r>
      </text>
    </comment>
    <comment ref="F91" authorId="0" shapeId="0" xr:uid="{00000000-0006-0000-0300-000090000000}">
      <text>
        <r>
          <rPr>
            <sz val="10"/>
            <rFont val="Arial"/>
            <family val="2"/>
          </rPr>
          <t>Source: FY2020 MDA (Killam Q4 12-31-2020 MDA for Release-4.pdf), p.33 (AFFO reconciliation)
Commercial SL rent adjustment $(555)K FY2020</t>
        </r>
      </text>
    </comment>
    <comment ref="G91" authorId="0" shapeId="0" xr:uid="{00000000-0006-0000-0300-0000AD000000}">
      <text>
        <r>
          <rPr>
            <sz val="10"/>
            <rFont val="Arial"/>
            <family val="2"/>
          </rPr>
          <t>Source: FY2021 MDA (KillamQ42021 MDA-3.pdf), p.31 (AFFO reconciliation)
Commercial SL rent adjustment</t>
        </r>
      </text>
    </comment>
    <comment ref="H91" authorId="0" shapeId="0" xr:uid="{00000000-0006-0000-0300-0000CA000000}">
      <text>
        <r>
          <rPr>
            <sz val="10"/>
            <rFont val="Arial"/>
            <family val="2"/>
          </rPr>
          <t>Source: FY2022 MDA (KMP.UN - MDA Q4 12-31-2022-2.pdf), p.32 (AFFO reconciliation)
Commercial SL rent adjustment</t>
        </r>
      </text>
    </comment>
    <comment ref="I91" authorId="0" shapeId="0" xr:uid="{00000000-0006-0000-0300-0000E7000000}">
      <text>
        <r>
          <rPr>
            <sz val="10"/>
            <rFont val="Arial"/>
            <family val="2"/>
          </rPr>
          <t>Source: FY2023 MDA (Killam Q4 12-31-2023 MDA-2.pdf), p.33 (AFFO reconciliation)
Commercial SL rent adjustment $78K</t>
        </r>
      </text>
    </comment>
    <comment ref="J91" authorId="0" shapeId="0" xr:uid="{00000000-0006-0000-0300-000005010000}">
      <text>
        <r>
          <rPr>
            <sz val="10"/>
            <rFont val="Arial"/>
            <family val="2"/>
          </rPr>
          <t>Source: FY2024 MDA (Killam Q4 12-31-2024 MDA - Final-4.pdf), p.32 (AFFO reconciliation)
Commercial SL rent adjustment</t>
        </r>
      </text>
    </comment>
    <comment ref="K91" authorId="0" shapeId="0" xr:uid="{00000000-0006-0000-0300-000023010000}">
      <text>
        <r>
          <rPr>
            <sz val="10"/>
            <rFont val="Arial"/>
            <family val="2"/>
          </rPr>
          <t>Source: FY2025 MDA (Killam Q4 12-31-2025 MDA-2.pdf), p.32 (AFFO reconciliation)
Commercial SL rent adjustment $(25)K</t>
        </r>
      </text>
    </comment>
    <comment ref="B92" authorId="0" shapeId="0" xr:uid="{00000000-0006-0000-0300-00001A000000}">
      <text>
        <r>
          <rPr>
            <sz val="10"/>
            <rFont val="Arial"/>
            <family val="2"/>
          </rPr>
          <t>Source: Not applicable FY2016
Commercial leasing costs: $0 — first disclosed as AFFO adj in FY2019</t>
        </r>
      </text>
    </comment>
    <comment ref="C92" authorId="0" shapeId="0" xr:uid="{00000000-0006-0000-0300-000037000000}">
      <text>
        <r>
          <rPr>
            <sz val="10"/>
            <rFont val="Arial"/>
            <family val="2"/>
          </rPr>
          <t>Source: Not applicable FY2017
Commercial leasing costs: $0 — first disclosed FY2019</t>
        </r>
      </text>
    </comment>
    <comment ref="D92" authorId="0" shapeId="0" xr:uid="{00000000-0006-0000-0300-000055000000}">
      <text>
        <r>
          <rPr>
            <sz val="10"/>
            <rFont val="Arial"/>
            <family val="2"/>
          </rPr>
          <t>Source: Not applicable FY2018
Commercial leasing costs: $0 — first disclosed FY2019</t>
        </r>
      </text>
    </comment>
    <comment ref="E92" authorId="0" shapeId="0" xr:uid="{00000000-0006-0000-0300-000073000000}">
      <text>
        <r>
          <rPr>
            <sz val="10"/>
            <rFont val="Arial"/>
            <family val="2"/>
          </rPr>
          <t>Source: FY2019 MDA (Killam Q4 12-31-2019 MDA FINAL-3.pdf), p.31 (AFFO reconciliation)
Commercial leasing costs $(456)K FY2019
First year this adjustment appears in AFFO calc</t>
        </r>
      </text>
    </comment>
    <comment ref="F92" authorId="0" shapeId="0" xr:uid="{00000000-0006-0000-0300-000091000000}">
      <text>
        <r>
          <rPr>
            <sz val="10"/>
            <rFont val="Arial"/>
            <family val="2"/>
          </rPr>
          <t>Source: FY2020 MDA (Killam Q4 12-31-2020 MDA for Release-4.pdf), p.33 (AFFO reconciliation)
Commercial leasing costs $(447)K FY2020</t>
        </r>
      </text>
    </comment>
    <comment ref="G92" authorId="0" shapeId="0" xr:uid="{00000000-0006-0000-0300-0000AE000000}">
      <text>
        <r>
          <rPr>
            <sz val="10"/>
            <rFont val="Arial"/>
            <family val="2"/>
          </rPr>
          <t>Source: FY2021 MDA (KillamQ42021 MDA-3.pdf), p.31 (AFFO reconciliation)
Commercial leasing costs</t>
        </r>
      </text>
    </comment>
    <comment ref="H92" authorId="0" shapeId="0" xr:uid="{00000000-0006-0000-0300-0000CB000000}">
      <text>
        <r>
          <rPr>
            <sz val="10"/>
            <rFont val="Arial"/>
            <family val="2"/>
          </rPr>
          <t>Source: FY2022 MDA (KMP.UN - MDA Q4 12-31-2022-2.pdf), p.32 (AFFO reconciliation)
Commercial leasing costs</t>
        </r>
      </text>
    </comment>
    <comment ref="I92" authorId="0" shapeId="0" xr:uid="{00000000-0006-0000-0300-0000E8000000}">
      <text>
        <r>
          <rPr>
            <sz val="10"/>
            <rFont val="Arial"/>
            <family val="2"/>
          </rPr>
          <t>Source: FY2023 MDA (Killam Q4 12-31-2023 MDA-2.pdf), p.33 (AFFO reconciliation)
Commercial leasing costs $(446)K</t>
        </r>
      </text>
    </comment>
    <comment ref="J92" authorId="0" shapeId="0" xr:uid="{00000000-0006-0000-0300-000006010000}">
      <text>
        <r>
          <rPr>
            <sz val="10"/>
            <rFont val="Arial"/>
            <family val="2"/>
          </rPr>
          <t>Source: FY2024 MDA (Killam Q4 12-31-2024 MDA - Final-4.pdf), p.32 (AFFO reconciliation)
Commercial leasing costs</t>
        </r>
      </text>
    </comment>
    <comment ref="K92" authorId="0" shapeId="0" xr:uid="{00000000-0006-0000-0300-000024010000}">
      <text>
        <r>
          <rPr>
            <sz val="10"/>
            <rFont val="Arial"/>
            <family val="2"/>
          </rPr>
          <t>Source: FY2025 MDA (Killam Q4 12-31-2025 MDA-2.pdf), p.32 (AFFO reconciliation)
Commercial leasing costs $(432)K</t>
        </r>
      </text>
    </comment>
    <comment ref="B107" authorId="0" shapeId="0" xr:uid="{00000000-0006-0000-0300-00001B000000}">
      <text>
        <r>
          <rPr>
            <sz val="10"/>
            <rFont val="Arial"/>
            <family val="2"/>
          </rPr>
          <t>Source: FY16 MDA p.29</t>
        </r>
      </text>
    </comment>
    <comment ref="C107" authorId="0" shapeId="0" xr:uid="{00000000-0006-0000-0300-000038000000}">
      <text>
        <r>
          <rPr>
            <sz val="10"/>
            <rFont val="Arial"/>
            <family val="2"/>
          </rPr>
          <t>Source: FY17 AR p.52</t>
        </r>
      </text>
    </comment>
    <comment ref="D107" authorId="0" shapeId="0" xr:uid="{00000000-0006-0000-0300-000056000000}">
      <text>
        <r>
          <rPr>
            <sz val="10"/>
            <rFont val="Arial"/>
            <family val="2"/>
          </rPr>
          <t>Source: FY18 FS p.16 Note 5</t>
        </r>
      </text>
    </comment>
    <comment ref="E107" authorId="0" shapeId="0" xr:uid="{00000000-0006-0000-0300-000074000000}">
      <text>
        <r>
          <rPr>
            <sz val="10"/>
            <rFont val="Arial"/>
            <family val="2"/>
          </rPr>
          <t>Source: FY19 MDA p.33</t>
        </r>
      </text>
    </comment>
    <comment ref="F107" authorId="0" shapeId="0" xr:uid="{00000000-0006-0000-0300-000092000000}">
      <text>
        <r>
          <rPr>
            <sz val="10"/>
            <rFont val="Arial"/>
            <family val="2"/>
          </rPr>
          <t>Source: FY20 MDA p.6</t>
        </r>
      </text>
    </comment>
    <comment ref="G107" authorId="0" shapeId="0" xr:uid="{00000000-0006-0000-0300-0000AF000000}">
      <text>
        <r>
          <rPr>
            <sz val="10"/>
            <rFont val="Arial"/>
            <family val="2"/>
          </rPr>
          <t>Source: FY21 MDA p.7</t>
        </r>
      </text>
    </comment>
    <comment ref="H107" authorId="0" shapeId="0" xr:uid="{00000000-0006-0000-0300-0000CC000000}">
      <text>
        <r>
          <rPr>
            <sz val="10"/>
            <rFont val="Arial"/>
            <family val="2"/>
          </rPr>
          <t>Source: FY22 CFS — no separate gross</t>
        </r>
      </text>
    </comment>
    <comment ref="I107" authorId="0" shapeId="0" xr:uid="{00000000-0006-0000-0300-0000E9000000}">
      <text>
        <r>
          <rPr>
            <sz val="10"/>
            <rFont val="Arial"/>
            <family val="2"/>
          </rPr>
          <t>Source: FY23 MDA p.7</t>
        </r>
      </text>
    </comment>
    <comment ref="J107" authorId="0" shapeId="0" xr:uid="{00000000-0006-0000-0300-000007010000}">
      <text>
        <r>
          <rPr>
            <sz val="10"/>
            <rFont val="Arial"/>
            <family val="2"/>
          </rPr>
          <t>Source: FY24 MDA p.10</t>
        </r>
      </text>
    </comment>
    <comment ref="K107" authorId="0" shapeId="0" xr:uid="{00000000-0006-0000-0300-000025010000}">
      <text>
        <r>
          <rPr>
            <sz val="10"/>
            <rFont val="Arial"/>
            <family val="2"/>
          </rPr>
          <t>Source: FY25 MDA p.7</t>
        </r>
      </text>
    </comment>
    <comment ref="B108" authorId="0" shapeId="0" xr:uid="{00000000-0006-0000-0300-00001C000000}">
      <text>
        <r>
          <rPr>
            <sz val="10"/>
            <rFont val="Arial"/>
            <family val="2"/>
          </rPr>
          <t>Source: FY16 MDA p.30</t>
        </r>
      </text>
    </comment>
    <comment ref="C108" authorId="0" shapeId="0" xr:uid="{00000000-0006-0000-0300-000039000000}">
      <text>
        <r>
          <rPr>
            <sz val="10"/>
            <rFont val="Arial"/>
            <family val="2"/>
          </rPr>
          <t>Source: FY17 AR p.53</t>
        </r>
      </text>
    </comment>
    <comment ref="D108" authorId="0" shapeId="0" xr:uid="{00000000-0006-0000-0300-000057000000}">
      <text>
        <r>
          <rPr>
            <sz val="10"/>
            <rFont val="Arial"/>
            <family val="2"/>
          </rPr>
          <t>Source: FY18 FS p.17 est</t>
        </r>
      </text>
    </comment>
    <comment ref="E108" authorId="0" shapeId="0" xr:uid="{00000000-0006-0000-0300-000075000000}">
      <text>
        <r>
          <rPr>
            <sz val="10"/>
            <rFont val="Arial"/>
            <family val="2"/>
          </rPr>
          <t>Source: FY19 est</t>
        </r>
      </text>
    </comment>
    <comment ref="F108" authorId="0" shapeId="0" xr:uid="{00000000-0006-0000-0300-000093000000}">
      <text>
        <r>
          <rPr>
            <sz val="10"/>
            <rFont val="Arial"/>
            <family val="2"/>
          </rPr>
          <t>Source: FY20 est incl 315 Victoria, 233 Nolan Hill</t>
        </r>
      </text>
    </comment>
    <comment ref="G108" authorId="0" shapeId="0" xr:uid="{00000000-0006-0000-0300-0000B0000000}">
      <text>
        <r>
          <rPr>
            <sz val="10"/>
            <rFont val="Arial"/>
            <family val="2"/>
          </rPr>
          <t>Source: FY21 MDA p.7</t>
        </r>
      </text>
    </comment>
    <comment ref="H108" authorId="0" shapeId="0" xr:uid="{00000000-0006-0000-0300-0000CD000000}">
      <text>
        <r>
          <rPr>
            <sz val="10"/>
            <rFont val="Arial"/>
            <family val="2"/>
          </rPr>
          <t>Source: FY22 derived from unit count</t>
        </r>
      </text>
    </comment>
    <comment ref="I108" authorId="0" shapeId="0" xr:uid="{00000000-0006-0000-0300-0000EA000000}">
      <text>
        <r>
          <rPr>
            <sz val="10"/>
            <rFont val="Arial"/>
            <family val="2"/>
          </rPr>
          <t>Source: FY23 est Nolan Hill II 234 + smaller</t>
        </r>
      </text>
    </comment>
    <comment ref="J108" authorId="0" shapeId="0" xr:uid="{00000000-0006-0000-0300-000008010000}">
      <text>
        <r>
          <rPr>
            <sz val="10"/>
            <rFont val="Arial"/>
            <family val="2"/>
          </rPr>
          <t>Source: FY24 minimal</t>
        </r>
      </text>
    </comment>
    <comment ref="K108" authorId="0" shapeId="0" xr:uid="{00000000-0006-0000-0300-000026010000}">
      <text>
        <r>
          <rPr>
            <sz val="10"/>
            <rFont val="Arial"/>
            <family val="2"/>
          </rPr>
          <t>Source: FY25 MDA p.7</t>
        </r>
      </text>
    </comment>
    <comment ref="B113" authorId="0" shapeId="0" xr:uid="{00000000-0006-0000-0300-00001D000000}">
      <text>
        <r>
          <rPr>
            <sz val="10"/>
            <rFont val="Arial"/>
            <family val="2"/>
          </rPr>
          <t>Source: FY16 immaterial</t>
        </r>
      </text>
    </comment>
    <comment ref="C113" authorId="0" shapeId="0" xr:uid="{00000000-0006-0000-0300-00003A000000}">
      <text>
        <r>
          <rPr>
            <sz val="10"/>
            <rFont val="Arial"/>
            <family val="2"/>
          </rPr>
          <t>Source: FY17 AR p.52 IP rollforward</t>
        </r>
      </text>
    </comment>
    <comment ref="D113" authorId="0" shapeId="0" xr:uid="{00000000-0006-0000-0300-000058000000}">
      <text>
        <r>
          <rPr>
            <sz val="10"/>
            <rFont val="Arial"/>
            <family val="2"/>
          </rPr>
          <t>Source: FY18 FS p.9</t>
        </r>
      </text>
    </comment>
    <comment ref="E113" authorId="0" shapeId="0" xr:uid="{00000000-0006-0000-0300-000076000000}">
      <text>
        <r>
          <rPr>
            <sz val="10"/>
            <rFont val="Arial"/>
            <family val="2"/>
          </rPr>
          <t>Source: FY19 FS p.9</t>
        </r>
      </text>
    </comment>
    <comment ref="F113" authorId="0" shapeId="0" xr:uid="{00000000-0006-0000-0300-000094000000}">
      <text>
        <r>
          <rPr>
            <sz val="10"/>
            <rFont val="Arial"/>
            <family val="2"/>
          </rPr>
          <t>Source: FY20 none</t>
        </r>
      </text>
    </comment>
    <comment ref="G113" authorId="0" shapeId="0" xr:uid="{00000000-0006-0000-0300-0000B1000000}">
      <text>
        <r>
          <rPr>
            <sz val="10"/>
            <rFont val="Arial"/>
            <family val="2"/>
          </rPr>
          <t>Source: FY21 none</t>
        </r>
      </text>
    </comment>
    <comment ref="H113" authorId="0" shapeId="0" xr:uid="{00000000-0006-0000-0300-0000CE000000}">
      <text>
        <r>
          <rPr>
            <sz val="10"/>
            <rFont val="Arial"/>
            <family val="2"/>
          </rPr>
          <t>Source: FY22 none</t>
        </r>
      </text>
    </comment>
    <comment ref="I113" authorId="0" shapeId="0" xr:uid="{00000000-0006-0000-0300-0000EB000000}">
      <text>
        <r>
          <rPr>
            <sz val="10"/>
            <rFont val="Arial"/>
            <family val="2"/>
          </rPr>
          <t>Source: FY23 MDA p.41</t>
        </r>
      </text>
    </comment>
    <comment ref="J113" authorId="0" shapeId="0" xr:uid="{00000000-0006-0000-0300-000009010000}">
      <text>
        <r>
          <rPr>
            <sz val="10"/>
            <rFont val="Arial"/>
            <family val="2"/>
          </rPr>
          <t>Source: FY24 MDA p.7</t>
        </r>
      </text>
    </comment>
    <comment ref="K113" authorId="0" shapeId="0" xr:uid="{00000000-0006-0000-0300-000027010000}">
      <text>
        <r>
          <rPr>
            <sz val="10"/>
            <rFont val="Arial"/>
            <family val="2"/>
          </rPr>
          <t>Source: FY25 MDA p.7</t>
        </r>
      </text>
    </comment>
    <comment ref="C114" authorId="0" shapeId="0" xr:uid="{00000000-0006-0000-0300-00003B000000}">
      <text>
        <r>
          <rPr>
            <sz val="10"/>
            <rFont val="Arial"/>
            <family val="2"/>
          </rPr>
          <t>Source: FY17 not disclosed</t>
        </r>
      </text>
    </comment>
    <comment ref="D114" authorId="0" shapeId="0" xr:uid="{00000000-0006-0000-0300-000059000000}">
      <text>
        <r>
          <rPr>
            <sz val="10"/>
            <rFont val="Arial"/>
            <family val="2"/>
          </rPr>
          <t>Source: FY18 land only</t>
        </r>
      </text>
    </comment>
    <comment ref="E114" authorId="0" shapeId="0" xr:uid="{00000000-0006-0000-0300-000077000000}">
      <text>
        <r>
          <rPr>
            <sz val="10"/>
            <rFont val="Arial"/>
            <family val="2"/>
          </rPr>
          <t>Source: FY19 Ottawa — units not disclosed</t>
        </r>
      </text>
    </comment>
    <comment ref="I114" authorId="0" shapeId="0" xr:uid="{00000000-0006-0000-0300-0000EC000000}">
      <text>
        <r>
          <rPr>
            <sz val="10"/>
            <rFont val="Arial"/>
            <family val="2"/>
          </rPr>
          <t>Source: FY23 MDA p.41</t>
        </r>
      </text>
    </comment>
    <comment ref="J114" authorId="0" shapeId="0" xr:uid="{00000000-0006-0000-0300-00000A010000}">
      <text>
        <r>
          <rPr>
            <sz val="10"/>
            <rFont val="Arial"/>
            <family val="2"/>
          </rPr>
          <t>Source: FY24 MDA p.7</t>
        </r>
      </text>
    </comment>
    <comment ref="K114" authorId="0" shapeId="0" xr:uid="{00000000-0006-0000-0300-000028010000}">
      <text>
        <r>
          <rPr>
            <sz val="10"/>
            <rFont val="Arial"/>
            <family val="2"/>
          </rPr>
          <t>Source: FY25 MDA p.7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9" authorId="0" shapeId="0" xr:uid="{00000000-0006-0000-0400-000001000000}">
      <text>
        <r>
          <rPr>
            <sz val="10"/>
            <rFont val="Arial"/>
            <family val="2"/>
          </rPr>
          <t>Source: FY2016 FS (Killam Q4 12-31-2016-FS), p.7
FV adjustments add-back: $11,231K total in FS CFS (combined)
Model separates: IP $(3,749) reversed = $3,749
Ref: FY2016 FS (Killam Q4 12-31-2016-FS), p.5 for individual FV amounts</t>
        </r>
      </text>
    </comment>
    <comment ref="C9" authorId="0" shapeId="0" xr:uid="{00000000-0006-0000-0400-000018000000}">
      <text>
        <r>
          <rPr>
            <sz val="10"/>
            <rFont val="Arial"/>
            <family val="2"/>
          </rPr>
          <t>Source: FY2017 AR (Killam.AR_.17-3.pdf), p.79 (CFS)
FV adjustments: $(56,203)K combined in FS CFS
Model splits: IP $(64,857) reversed + financial instruments $8,655 net
Note: FS CFS combines all FV adj; model follows IS detail</t>
        </r>
      </text>
    </comment>
    <comment ref="D9" authorId="0" shapeId="0" xr:uid="{00000000-0006-0000-0400-00002F000000}">
      <text>
        <r>
          <rPr>
            <sz val="10"/>
            <rFont val="Arial"/>
            <family val="2"/>
          </rPr>
          <t>Source: FY2018 FS (Killam Q4 12-31-2018-FS Final-3.pdf), p.9 (CFS)
FV adjustments: $(127,877)K combined in FS CFS
Model splits per IS detail</t>
        </r>
      </text>
    </comment>
    <comment ref="E9" authorId="0" shapeId="0" xr:uid="{00000000-0006-0000-0400-000046000000}">
      <text>
        <r>
          <rPr>
            <sz val="10"/>
            <rFont val="Arial"/>
            <family val="2"/>
          </rPr>
          <t>Source: FY2019 FS (Killam Q4 12-31-2019 FS FINAL-3.pdf), p.9 (CFS)
FV adjustments: $(230,080)K combined
Model splits per IS: IP $(244,130) reversed</t>
        </r>
      </text>
    </comment>
    <comment ref="F9" authorId="0" shapeId="0" xr:uid="{00000000-0006-0000-0400-00005D000000}">
      <text>
        <r>
          <rPr>
            <sz val="10"/>
            <rFont val="Arial"/>
            <family val="2"/>
          </rPr>
          <t>Source: FY2020 FS (Killam Q4 12-31-2020 FS for Release-4.pdf), p.10 (CFS)
FV adjustments: $(54,620)K combined
Model splits per IS detail</t>
        </r>
      </text>
    </comment>
    <comment ref="G9" authorId="0" shapeId="0" xr:uid="{00000000-0006-0000-0400-000074000000}">
      <text>
        <r>
          <rPr>
            <sz val="10"/>
            <rFont val="Arial"/>
            <family val="2"/>
          </rPr>
          <t>Source: FY2021 FS (KillamQ42021FS-3.pdf), p.4 (CFS)
FV adjustments: $(211,708)K combined</t>
        </r>
      </text>
    </comment>
    <comment ref="H9" authorId="0" shapeId="0" xr:uid="{00000000-0006-0000-0400-00008B000000}">
      <text>
        <r>
          <rPr>
            <sz val="10"/>
            <rFont val="Arial"/>
            <family val="2"/>
          </rPr>
          <t>Source: FY2022 FS (KMP.UN - FS Q4 12-31-2022-2.pdf), p.10 (CFS)
FV adjustments: $(11,861)K combined</t>
        </r>
      </text>
    </comment>
    <comment ref="I9" authorId="0" shapeId="0" xr:uid="{00000000-0006-0000-0400-0000A2000000}">
      <text>
        <r>
          <rPr>
            <sz val="10"/>
            <rFont val="Arial"/>
            <family val="2"/>
          </rPr>
          <t>Source: FY2023 FS (Killam Q4 12-31-2023 FS-2.pdf) (CFS) / FY2023 MDA (Killam Q4 12-31-2023 MDA-2.pdf)
FV adjustments combined — model splits per IS detail</t>
        </r>
      </text>
    </comment>
    <comment ref="J9" authorId="0" shapeId="0" xr:uid="{00000000-0006-0000-0400-0000BB000000}">
      <text>
        <r>
          <rPr>
            <sz val="10"/>
            <rFont val="Arial"/>
            <family val="2"/>
          </rPr>
          <t>Source: FY2024 FS (Killam Q4 12-31-2024 FS - Final-4.pdf), p.4 (CFS)
FV adjustments: $(256,644)K combined</t>
        </r>
      </text>
    </comment>
    <comment ref="K9" authorId="0" shapeId="0" xr:uid="{00000000-0006-0000-0400-0000D4000000}">
      <text>
        <r>
          <rPr>
            <sz val="10"/>
            <rFont val="Arial"/>
            <family val="2"/>
          </rPr>
          <t>Source: FY2025 FS (Killam Q4 12-31-2025 FS-3.pdf), p.11 (CFS)
FV adjustments: $117,451K combined (IP loss $120,467 reversed, partially offset by exch/UBC gains)</t>
        </r>
      </text>
    </comment>
    <comment ref="B10" authorId="0" shapeId="0" xr:uid="{00000000-0006-0000-0400-000002000000}">
      <text>
        <r>
          <rPr>
            <sz val="10"/>
            <rFont val="Arial"/>
            <family val="2"/>
          </rPr>
          <t>Source: FY2016 FS (Killam Q4 12-31-2016-FS), p.7
FV adj financial instruments $7,482K FY2016
= Exchangeable units $7,774 + convertible deb $(1,118) + UBC $826
Note: FS CFS combines all FV adj into single $11,231K line; model splits per IS detail</t>
        </r>
      </text>
    </comment>
    <comment ref="C10" authorId="0" shapeId="0" xr:uid="{00000000-0006-0000-0400-000019000000}">
      <text>
        <r>
          <rPr>
            <sz val="10"/>
            <rFont val="Arial"/>
            <family val="2"/>
          </rPr>
          <t>Source: FY2017 AR (Killam.AR_.17-3.pdf), p.79 (CFS) / p.47 (IS detail)
FV adj financial instruments $8,655K = exch units $8,811 + UBC $534 - conv deb gain $690</t>
        </r>
      </text>
    </comment>
    <comment ref="D10" authorId="0" shapeId="0" xr:uid="{00000000-0006-0000-0400-000030000000}">
      <text>
        <r>
          <rPr>
            <sz val="10"/>
            <rFont val="Arial"/>
            <family val="2"/>
          </rPr>
          <t>Source: FY2018 FS (Killam Q4 12-31-2018-FS Final-3.pdf), p.9 (CFS) / FY2018 MDA (Killam Q4 12-31-2018-MDA - FINAL-3.pdf), p.23
FV adj financial instruments $6,926K = exch units $6,373 + UBC $553</t>
        </r>
      </text>
    </comment>
    <comment ref="E10" authorId="0" shapeId="0" xr:uid="{00000000-0006-0000-0400-000047000000}">
      <text>
        <r>
          <rPr>
            <sz val="10"/>
            <rFont val="Arial"/>
            <family val="2"/>
          </rPr>
          <t>Source: FY2019 FS (Killam Q4 12-31-2019 FS FINAL-3.pdf), p.9 (CFS)
FV adj financial instruments $14,051K = exch units $12,461 + UBC $1,590</t>
        </r>
      </text>
    </comment>
    <comment ref="F10" authorId="0" shapeId="0" xr:uid="{00000000-0006-0000-0400-00005E000000}">
      <text>
        <r>
          <rPr>
            <sz val="10"/>
            <rFont val="Arial"/>
            <family val="2"/>
          </rPr>
          <t>Source: FY2020 FS (Killam Q4 12-31-2020 FS for Release-4.pdf), p.10 (CFS)
FV adj financial instruments $(7,735)K = exch units $(7,676) + UBC $(59)
Note: both gains in FY2020 (unit price declined)</t>
        </r>
      </text>
    </comment>
    <comment ref="G10" authorId="0" shapeId="0" xr:uid="{00000000-0006-0000-0400-000075000000}">
      <text>
        <r>
          <rPr>
            <sz val="10"/>
            <rFont val="Arial"/>
            <family val="2"/>
          </rPr>
          <t>Source: FY2021 FS (KillamQ42021FS-3.pdf), p.4 (CFS)
FV adj financial instruments: exch units $26,107 + UBC $1,869 = $27,976K</t>
        </r>
      </text>
    </comment>
    <comment ref="H10" authorId="0" shapeId="0" xr:uid="{00000000-0006-0000-0400-00008C000000}">
      <text>
        <r>
          <rPr>
            <sz val="10"/>
            <rFont val="Arial"/>
            <family val="2"/>
          </rPr>
          <t>Source: FY2022 FS (KMP.UN - FS Q4 12-31-2022-2.pdf), p.10 (CFS)
FV adj financial instruments $(31,731)K = exch units $(29,497) + UBC $(2,234)
Both gains — unit price declined in 2022</t>
        </r>
      </text>
    </comment>
    <comment ref="I10" authorId="0" shapeId="0" xr:uid="{00000000-0006-0000-0400-0000A3000000}">
      <text>
        <r>
          <rPr>
            <sz val="10"/>
            <rFont val="Arial"/>
            <family val="2"/>
          </rPr>
          <t>Source: FY2023 FS (Killam Q4 12-31-2023 FS-2.pdf) (CFS)
FV adj financial instruments $7,151K = exch units $6,821 + UBC $330</t>
        </r>
      </text>
    </comment>
    <comment ref="J10" authorId="0" shapeId="0" xr:uid="{00000000-0006-0000-0400-0000BC000000}">
      <text>
        <r>
          <rPr>
            <sz val="10"/>
            <rFont val="Arial"/>
            <family val="2"/>
          </rPr>
          <t>Source: FY2024 FS (Killam Q4 12-31-2024 FS - Final-4.pdf), p.4 (CFS)
FV adj financial instruments $(4,283)K = exch units $(3,352) + UBC $(931)</t>
        </r>
      </text>
    </comment>
    <comment ref="K10" authorId="0" shapeId="0" xr:uid="{00000000-0006-0000-0400-0000D5000000}">
      <text>
        <r>
          <rPr>
            <sz val="10"/>
            <rFont val="Arial"/>
            <family val="2"/>
          </rPr>
          <t>Source: FY2025 FS (Killam Q4 12-31-2025 FS-3.pdf), p.11 (CFS)
FV adj financial instruments $(3,016)K = exch units $(2,075) + UBC $(941)</t>
        </r>
      </text>
    </comment>
    <comment ref="B11" authorId="0" shapeId="0" xr:uid="{00000000-0006-0000-0400-000003000000}">
      <text>
        <r>
          <rPr>
            <sz val="10"/>
            <rFont val="Arial"/>
            <family val="2"/>
          </rPr>
          <t>Source: FY2016 FS (Killam Q4 12-31-2016-FS), p.7
Non-cash compensation $896K FY2016
Separately disclosed in FS CFS adjustments</t>
        </r>
      </text>
    </comment>
    <comment ref="C11" authorId="0" shapeId="0" xr:uid="{00000000-0006-0000-0400-00001A000000}">
      <text>
        <r>
          <rPr>
            <sz val="10"/>
            <rFont val="Arial"/>
            <family val="2"/>
          </rPr>
          <t>Source: FY2017 AR (Killam.AR_.17-3.pdf), p.79 (CFS)
Non-cash compensation $1,021K FY2017</t>
        </r>
      </text>
    </comment>
    <comment ref="D11" authorId="0" shapeId="0" xr:uid="{00000000-0006-0000-0400-000031000000}">
      <text>
        <r>
          <rPr>
            <sz val="10"/>
            <rFont val="Arial"/>
            <family val="2"/>
          </rPr>
          <t>Source: FY2018 FS (Killam Q4 12-31-2018-FS Final-3.pdf), p.9 (CFS)
Non-cash compensation $1,513K FY2018</t>
        </r>
      </text>
    </comment>
    <comment ref="E11" authorId="0" shapeId="0" xr:uid="{00000000-0006-0000-0400-000048000000}">
      <text>
        <r>
          <rPr>
            <sz val="10"/>
            <rFont val="Arial"/>
            <family val="2"/>
          </rPr>
          <t>Source: FY2019 FS (Killam Q4 12-31-2019 FS FINAL-3.pdf), p.9 (CFS)
Non-cash compensation $1,918K FY2019</t>
        </r>
      </text>
    </comment>
    <comment ref="F11" authorId="0" shapeId="0" xr:uid="{00000000-0006-0000-0400-00005F000000}">
      <text>
        <r>
          <rPr>
            <sz val="10"/>
            <rFont val="Arial"/>
            <family val="2"/>
          </rPr>
          <t>Source: FY2020 FS (Killam Q4 12-31-2020 FS for Release-4.pdf), p.10 (CFS)
Non-cash compensation $1,727K FY2020</t>
        </r>
      </text>
    </comment>
    <comment ref="G11" authorId="0" shapeId="0" xr:uid="{00000000-0006-0000-0400-000076000000}">
      <text>
        <r>
          <rPr>
            <sz val="10"/>
            <rFont val="Arial"/>
            <family val="2"/>
          </rPr>
          <t>Source: FY2021 FS (KillamQ42021FS-3.pdf), p.4 (CFS)
Non-cash compensation $2,078K FY2021</t>
        </r>
      </text>
    </comment>
    <comment ref="H11" authorId="0" shapeId="0" xr:uid="{00000000-0006-0000-0400-00008D000000}">
      <text>
        <r>
          <rPr>
            <sz val="10"/>
            <rFont val="Arial"/>
            <family val="2"/>
          </rPr>
          <t>Source: FY2022 FS (KMP.UN - FS Q4 12-31-2022-2.pdf), p.10 (CFS)
Non-cash compensation $2,191K FY2022</t>
        </r>
      </text>
    </comment>
    <comment ref="I11" authorId="0" shapeId="0" xr:uid="{00000000-0006-0000-0400-0000A4000000}">
      <text>
        <r>
          <rPr>
            <sz val="10"/>
            <rFont val="Arial"/>
            <family val="2"/>
          </rPr>
          <t>Source: FY2023 FS (Killam Q4 12-31-2023 FS-2.pdf) (CFS)
Non-cash compensation $2,672K FY2023</t>
        </r>
      </text>
    </comment>
    <comment ref="J11" authorId="0" shapeId="0" xr:uid="{00000000-0006-0000-0400-0000BD000000}">
      <text>
        <r>
          <rPr>
            <sz val="10"/>
            <rFont val="Arial"/>
            <family val="2"/>
          </rPr>
          <t>Source: FY2024 FS (Killam Q4 12-31-2024 FS - Final-4.pdf), p.4 (CFS)
Non-cash compensation $3,174K FY2024</t>
        </r>
      </text>
    </comment>
    <comment ref="K11" authorId="0" shapeId="0" xr:uid="{00000000-0006-0000-0400-0000D6000000}">
      <text>
        <r>
          <rPr>
            <sz val="10"/>
            <rFont val="Arial"/>
            <family val="2"/>
          </rPr>
          <t>Source: FY2025 FS (Killam Q4 12-31-2025 FS-3.pdf), p.11 (CFS)
Non-cash compensation $3,513K FY2025</t>
        </r>
      </text>
    </comment>
    <comment ref="B12" authorId="0" shapeId="0" xr:uid="{00000000-0006-0000-0400-000004000000}">
      <text>
        <r>
          <rPr>
            <sz val="10"/>
            <rFont val="Arial"/>
            <family val="2"/>
          </rPr>
          <t>Source: FY2016 FS (Killam Q4 12-31-2016-FS), p.7
Deferred income tax $(27,598)K FY2016
Recovery — sign negative in CFS because non-cash income being reversed</t>
        </r>
      </text>
    </comment>
    <comment ref="C12" authorId="0" shapeId="0" xr:uid="{00000000-0006-0000-0400-00001B000000}">
      <text>
        <r>
          <rPr>
            <sz val="10"/>
            <rFont val="Arial"/>
            <family val="2"/>
          </rPr>
          <t>Source: FY2017 AR (Killam.AR_.17-3.pdf), p.79 (CFS)
Deferred income tax $18,659K FY2017</t>
        </r>
      </text>
    </comment>
    <comment ref="D12" authorId="0" shapeId="0" xr:uid="{00000000-0006-0000-0400-000032000000}">
      <text>
        <r>
          <rPr>
            <sz val="10"/>
            <rFont val="Arial"/>
            <family val="2"/>
          </rPr>
          <t>Source: FY2018 FS (Killam Q4 12-31-2018-FS Final-3.pdf), p.9 (CFS)
Deferred income tax $31,478K FY2018</t>
        </r>
      </text>
    </comment>
    <comment ref="E12" authorId="0" shapeId="0" xr:uid="{00000000-0006-0000-0400-000049000000}">
      <text>
        <r>
          <rPr>
            <sz val="10"/>
            <rFont val="Arial"/>
            <family val="2"/>
          </rPr>
          <t>Source: FY2019 FS (Killam Q4 12-31-2019 FS FINAL-3.pdf), p.9 (CFS)
Deferred income tax $40,636K FY2019
Note: FS CFS shows $40,364K — difference of $272K may be reclassification</t>
        </r>
      </text>
    </comment>
    <comment ref="F12" authorId="0" shapeId="0" xr:uid="{00000000-0006-0000-0400-000060000000}">
      <text>
        <r>
          <rPr>
            <sz val="10"/>
            <rFont val="Arial"/>
            <family val="2"/>
          </rPr>
          <t>Source: FY2020 FS (Killam Q4 12-31-2020 FS for Release-4.pdf), p.10 (CFS)
Deferred income tax $9,590K FY2020
Note: FS CFS shows $9,563K — $27K rounding vs IS figure</t>
        </r>
      </text>
    </comment>
    <comment ref="G12" authorId="0" shapeId="0" xr:uid="{00000000-0006-0000-0400-000077000000}">
      <text>
        <r>
          <rPr>
            <sz val="10"/>
            <rFont val="Arial"/>
            <family val="2"/>
          </rPr>
          <t>Source: FY2021 FS (KillamQ42021FS-3.pdf), p.4 (CFS)
Deferred income tax $42,393K FY2021</t>
        </r>
      </text>
    </comment>
    <comment ref="H12" authorId="0" shapeId="0" xr:uid="{00000000-0006-0000-0400-00008E000000}">
      <text>
        <r>
          <rPr>
            <sz val="10"/>
            <rFont val="Arial"/>
            <family val="2"/>
          </rPr>
          <t>Source: FY2022 FS (KMP.UN - FS Q4 12-31-2022-2.pdf), p.10 (CFS)
Deferred income tax $18,813K FY2022</t>
        </r>
      </text>
    </comment>
    <comment ref="I12" authorId="0" shapeId="0" xr:uid="{00000000-0006-0000-0400-0000A5000000}">
      <text>
        <r>
          <rPr>
            <sz val="10"/>
            <rFont val="Arial"/>
            <family val="2"/>
          </rPr>
          <t>Source: FY2023 FS (Killam Q4 12-31-2023 FS-2.pdf) (CFS)
Deferred income tax $33,158K FY2023</t>
        </r>
      </text>
    </comment>
    <comment ref="J12" authorId="0" shapeId="0" xr:uid="{00000000-0006-0000-0400-0000BE000000}">
      <text>
        <r>
          <rPr>
            <sz val="10"/>
            <rFont val="Arial"/>
            <family val="2"/>
          </rPr>
          <t>Source: FY2024 FS (Killam Q4 12-31-2024 FS - Final-4.pdf), p.4 (CFS)
Deferred tax RECOVERY $(278,975)K FY2024
Sign: negative in CFS because recovery is non-cash income being reversed</t>
        </r>
      </text>
    </comment>
    <comment ref="K12" authorId="0" shapeId="0" xr:uid="{00000000-0006-0000-0400-0000D7000000}">
      <text>
        <r>
          <rPr>
            <sz val="10"/>
            <rFont val="Arial"/>
            <family val="2"/>
          </rPr>
          <t>Source: FY2025 FS (Killam Q4 12-31-2025 FS-3.pdf), p.11 (CFS)
Deferred tax: $0 FY2025 — no taxable subsidiaries remaining</t>
        </r>
      </text>
    </comment>
    <comment ref="B13" authorId="0" shapeId="0" xr:uid="{00000000-0006-0000-0400-000005000000}">
      <text>
        <r>
          <rPr>
            <sz val="10"/>
            <rFont val="Arial"/>
            <family val="2"/>
          </rPr>
          <t>Source: FY2016 FS (Killam Q4 12-31-2016-FS), p.7
Depreciation &amp; amortization $2,389K FY2016
= Depreciation $884 (p.5) + deferred financing amort $1,505 (p.5)</t>
        </r>
      </text>
    </comment>
    <comment ref="C13" authorId="0" shapeId="0" xr:uid="{00000000-0006-0000-0400-00001C000000}">
      <text>
        <r>
          <rPr>
            <sz val="10"/>
            <rFont val="Arial"/>
            <family val="2"/>
          </rPr>
          <t>Source: FY2017 AR (Killam.AR_.17-3.pdf), p.79 (CFS)
Depreciation &amp; amortization $2,507K FY2017</t>
        </r>
      </text>
    </comment>
    <comment ref="D13" authorId="0" shapeId="0" xr:uid="{00000000-0006-0000-0400-000033000000}">
      <text>
        <r>
          <rPr>
            <sz val="10"/>
            <rFont val="Arial"/>
            <family val="2"/>
          </rPr>
          <t>Source: FY2018 FS (Killam Q4 12-31-2018-FS Final-3.pdf), p.9 (CFS)
Depreciation &amp; amortization $4,354K FY2018
Note: increase from $2,507K FY2017 due to higher deferred financing amort</t>
        </r>
      </text>
    </comment>
    <comment ref="E13" authorId="0" shapeId="0" xr:uid="{00000000-0006-0000-0400-00004A000000}">
      <text>
        <r>
          <rPr>
            <sz val="10"/>
            <rFont val="Arial"/>
            <family val="2"/>
          </rPr>
          <t>Source: FY2019 FS (Killam Q4 12-31-2019 FS FINAL-3.pdf), p.9 (CFS)
Depreciation $720 + deferred financing amort $3,093 = $3,813K FY2019</t>
        </r>
      </text>
    </comment>
    <comment ref="F13" authorId="0" shapeId="0" xr:uid="{00000000-0006-0000-0400-000061000000}">
      <text>
        <r>
          <rPr>
            <sz val="10"/>
            <rFont val="Arial"/>
            <family val="2"/>
          </rPr>
          <t>Source: FY2020 FS (Killam Q4 12-31-2020 FS for Release-4.pdf), p.10 (CFS)
Depreciation $717 + deferred financing amort $3,126 = $3,843K FY2020</t>
        </r>
      </text>
    </comment>
    <comment ref="G13" authorId="0" shapeId="0" xr:uid="{00000000-0006-0000-0400-000078000000}">
      <text>
        <r>
          <rPr>
            <sz val="10"/>
            <rFont val="Arial"/>
            <family val="2"/>
          </rPr>
          <t>Source: FY2021 FS (KillamQ42021FS-3.pdf), p.4 (CFS)
Depreciation $573 + deferred fin amort $3,784 = $4,357K FY2021</t>
        </r>
      </text>
    </comment>
    <comment ref="H13" authorId="0" shapeId="0" xr:uid="{00000000-0006-0000-0400-00008F000000}">
      <text>
        <r>
          <rPr>
            <sz val="10"/>
            <rFont val="Arial"/>
            <family val="2"/>
          </rPr>
          <t>Source: FY2022 FS (KMP.UN - FS Q4 12-31-2022-2.pdf), p.10 (CFS)
Depreciation $573 + deferred fin amort $3,846 = $4,419K FY2022</t>
        </r>
      </text>
    </comment>
    <comment ref="I13" authorId="0" shapeId="0" xr:uid="{00000000-0006-0000-0400-0000A6000000}">
      <text>
        <r>
          <rPr>
            <sz val="10"/>
            <rFont val="Arial"/>
            <family val="2"/>
          </rPr>
          <t>Source: FY2023 FS (Killam Q4 12-31-2023 FS-2.pdf) (CFS)
Depreciation + deferred fin amort = $4,307K FY2023</t>
        </r>
      </text>
    </comment>
    <comment ref="J13" authorId="0" shapeId="0" xr:uid="{00000000-0006-0000-0400-0000BF000000}">
      <text>
        <r>
          <rPr>
            <sz val="10"/>
            <rFont val="Arial"/>
            <family val="2"/>
          </rPr>
          <t>Source: FY2024 FS (Killam Q4 12-31-2024 FS - Final-4.pdf), p.4 (CFS)
Depreciation $1,065 + deferred fin amort $3,915 = $4,980K FY2024</t>
        </r>
      </text>
    </comment>
    <comment ref="K13" authorId="0" shapeId="0" xr:uid="{00000000-0006-0000-0400-0000D8000000}">
      <text>
        <r>
          <rPr>
            <sz val="10"/>
            <rFont val="Arial"/>
            <family val="2"/>
          </rPr>
          <t>Source: FY2025 FS (Killam Q4 12-31-2025 FS-3.pdf), p.11 (CFS)
Depreciation $1,017 + deferred fin amort $4,581 = $5,598K FY2025</t>
        </r>
      </text>
    </comment>
    <comment ref="B14" authorId="0" shapeId="0" xr:uid="{00000000-0006-0000-0400-000006000000}">
      <text>
        <r>
          <rPr>
            <sz val="10"/>
            <rFont val="Arial"/>
            <family val="2"/>
          </rPr>
          <t>Source: FY2016 FS (Killam Q4 12-31-2016-FS), p.7
Loss on disposition $264K FY2016</t>
        </r>
      </text>
    </comment>
    <comment ref="C14" authorId="0" shapeId="0" xr:uid="{00000000-0006-0000-0400-00001D000000}">
      <text>
        <r>
          <rPr>
            <sz val="10"/>
            <rFont val="Arial"/>
            <family val="2"/>
          </rPr>
          <t>Source: FY2017 AR (Killam.AR_.17-3.pdf), p.79 (CFS)
Loss on disposition $259K FY2017</t>
        </r>
      </text>
    </comment>
    <comment ref="D14" authorId="0" shapeId="0" xr:uid="{00000000-0006-0000-0400-000034000000}">
      <text>
        <r>
          <rPr>
            <sz val="10"/>
            <rFont val="Arial"/>
            <family val="2"/>
          </rPr>
          <t>Source: FY2018 FS (Killam Q4 12-31-2018-FS Final-3.pdf), p.9 (CFS)
Loss on disposition $197K FY2018</t>
        </r>
      </text>
    </comment>
    <comment ref="E14" authorId="0" shapeId="0" xr:uid="{00000000-0006-0000-0400-00004B000000}">
      <text>
        <r>
          <rPr>
            <sz val="10"/>
            <rFont val="Arial"/>
            <family val="2"/>
          </rPr>
          <t>Source: FY2019 FS (Killam Q4 12-31-2019 FS FINAL-3.pdf), p.9 (CFS)
Loss on disposition $1,269K FY2019</t>
        </r>
      </text>
    </comment>
    <comment ref="F14" authorId="0" shapeId="0" xr:uid="{00000000-0006-0000-0400-000062000000}">
      <text>
        <r>
          <rPr>
            <sz val="10"/>
            <rFont val="Arial"/>
            <family val="2"/>
          </rPr>
          <t>Source: FY2020 FS (Killam Q4 12-31-2020 FS for Release-4.pdf), p.10 (CFS)
Loss on disposition $0K FY2020 (FS shows $4K — immaterial)</t>
        </r>
      </text>
    </comment>
    <comment ref="G14" authorId="0" shapeId="0" xr:uid="{00000000-0006-0000-0400-000079000000}">
      <text>
        <r>
          <rPr>
            <sz val="10"/>
            <rFont val="Arial"/>
            <family val="2"/>
          </rPr>
          <t>Source: FY2021 FS (KillamQ42021FS-3.pdf), p.4 (CFS)
Loss on disposition: $0 FY2021</t>
        </r>
      </text>
    </comment>
    <comment ref="H14" authorId="0" shapeId="0" xr:uid="{00000000-0006-0000-0400-000090000000}">
      <text>
        <r>
          <rPr>
            <sz val="10"/>
            <rFont val="Arial"/>
            <family val="2"/>
          </rPr>
          <t>Source: FY2022 FS (KMP.UN - FS Q4 12-31-2022-2.pdf), p.10 (CFS)
Loss on disposition: $0 FY2022</t>
        </r>
      </text>
    </comment>
    <comment ref="I14" authorId="0" shapeId="0" xr:uid="{00000000-0006-0000-0400-0000A7000000}">
      <text>
        <r>
          <rPr>
            <sz val="10"/>
            <rFont val="Arial"/>
            <family val="2"/>
          </rPr>
          <t>Source: FY2023 FS (Killam Q4 12-31-2023 FS-2.pdf) (CFS) / FY2023 MDA (Killam Q4 12-31-2023 MDA-2.pdf), p.28
Loss on disposition $4,021K FY2023</t>
        </r>
      </text>
    </comment>
    <comment ref="J14" authorId="0" shapeId="0" xr:uid="{00000000-0006-0000-0400-0000C0000000}">
      <text>
        <r>
          <rPr>
            <sz val="10"/>
            <rFont val="Arial"/>
            <family val="2"/>
          </rPr>
          <t>Source: FY2024 FS (Killam Q4 12-31-2024 FS - Final-4.pdf), p.4 (CFS)
Loss on disposition $3,678K FY2024</t>
        </r>
      </text>
    </comment>
    <comment ref="K14" authorId="0" shapeId="0" xr:uid="{00000000-0006-0000-0400-0000D9000000}">
      <text>
        <r>
          <rPr>
            <sz val="10"/>
            <rFont val="Arial"/>
            <family val="2"/>
          </rPr>
          <t>Source: FY2025 FS (Killam Q4 12-31-2025 FS-3.pdf), p.11 (CFS)
Loss on disposition $2,523K FY2025</t>
        </r>
      </text>
    </comment>
    <comment ref="B15" authorId="0" shapeId="0" xr:uid="{00000000-0006-0000-0400-000007000000}">
      <text>
        <r>
          <rPr>
            <sz val="10"/>
            <rFont val="Arial"/>
            <family val="2"/>
          </rPr>
          <t>Source: FY2016 FS (Killam Q4 12-31-2016-FS), p.27 (Note: interest detail)
Interest on exchangeable units $2,659K FY2016
Classified as financing cost in IS but added back in CFS operating section</t>
        </r>
      </text>
    </comment>
    <comment ref="C15" authorId="0" shapeId="0" xr:uid="{00000000-0006-0000-0400-00001E000000}">
      <text>
        <r>
          <rPr>
            <sz val="10"/>
            <rFont val="Arial"/>
            <family val="2"/>
          </rPr>
          <t>Source: FY2017 AR (Killam.AR_.17-3.pdf), p.79 (CFS)
Interest on exchangeable units $2,383K FY2017</t>
        </r>
      </text>
    </comment>
    <comment ref="D15" authorId="0" shapeId="0" xr:uid="{00000000-0006-0000-0400-000035000000}">
      <text>
        <r>
          <rPr>
            <sz val="10"/>
            <rFont val="Arial"/>
            <family val="2"/>
          </rPr>
          <t>Source: FY2018 FS (Killam Q4 12-31-2018-FS Final-3.pdf), p.9 (CFS)
Interest on exchangeable units $2,453K FY2018</t>
        </r>
      </text>
    </comment>
    <comment ref="E15" authorId="0" shapeId="0" xr:uid="{00000000-0006-0000-0400-00004C000000}">
      <text>
        <r>
          <rPr>
            <sz val="10"/>
            <rFont val="Arial"/>
            <family val="2"/>
          </rPr>
          <t>Source: FY2019 FS (Killam Q4 12-31-2019 FS FINAL-3.pdf), p.9 (CFS)
Interest on exchangeable units $2,727K FY2019</t>
        </r>
      </text>
    </comment>
    <comment ref="F15" authorId="0" shapeId="0" xr:uid="{00000000-0006-0000-0400-000063000000}">
      <text>
        <r>
          <rPr>
            <sz val="10"/>
            <rFont val="Arial"/>
            <family val="2"/>
          </rPr>
          <t>Source: FY2020 FS (Killam Q4 12-31-2020 FS for Release-4.pdf), p.10 (CFS)
Interest on exchangeable units $2,784K FY2020</t>
        </r>
      </text>
    </comment>
    <comment ref="G15" authorId="0" shapeId="0" xr:uid="{00000000-0006-0000-0400-00007A000000}">
      <text>
        <r>
          <rPr>
            <sz val="10"/>
            <rFont val="Arial"/>
            <family val="2"/>
          </rPr>
          <t>Source: FY2021 FS (KillamQ42021FS-3.pdf), p.4 (CFS)
Interest on exchangeable units $2,766K FY2021</t>
        </r>
      </text>
    </comment>
    <comment ref="H15" authorId="0" shapeId="0" xr:uid="{00000000-0006-0000-0400-000091000000}">
      <text>
        <r>
          <rPr>
            <sz val="10"/>
            <rFont val="Arial"/>
            <family val="2"/>
          </rPr>
          <t>Source: FY2022 FS (KMP.UN - FS Q4 12-31-2022-2.pdf), p.10 (CFS)
Interest on exchangeable units $2,790K FY2022</t>
        </r>
      </text>
    </comment>
    <comment ref="I15" authorId="0" shapeId="0" xr:uid="{00000000-0006-0000-0400-0000A8000000}">
      <text>
        <r>
          <rPr>
            <sz val="10"/>
            <rFont val="Arial"/>
            <family val="2"/>
          </rPr>
          <t>Source: FY2023 FS (Killam Q4 12-31-2023 FS-2.pdf) (CFS) / FY2023 MDA (Killam Q4 12-31-2023 MDA-2.pdf), p.28
Interest on exchangeable units $2,729K FY2023</t>
        </r>
      </text>
    </comment>
    <comment ref="J15" authorId="0" shapeId="0" xr:uid="{00000000-0006-0000-0400-0000C1000000}">
      <text>
        <r>
          <rPr>
            <sz val="10"/>
            <rFont val="Arial"/>
            <family val="2"/>
          </rPr>
          <t>Source: FY2024 FS (Killam Q4 12-31-2024 FS - Final-4.pdf), p.4 (CFS)
Interest on exchangeable units $2,742K FY2024</t>
        </r>
      </text>
    </comment>
    <comment ref="K15" authorId="0" shapeId="0" xr:uid="{00000000-0006-0000-0400-0000DA000000}">
      <text>
        <r>
          <rPr>
            <sz val="10"/>
            <rFont val="Arial"/>
            <family val="2"/>
          </rPr>
          <t>Source: FY2025 FS (Killam Q4 12-31-2025 FS-3.pdf), p.11 (CFS)
Interest on exchangeable units $2,550K FY2025</t>
        </r>
      </text>
    </comment>
    <comment ref="I17" authorId="0" shapeId="0" xr:uid="{00000000-0006-0000-0400-0000A9000000}">
      <text>
        <r>
          <rPr>
            <sz val="10"/>
            <rFont val="Arial"/>
            <family val="2"/>
          </rPr>
          <t>Source: FS
Items related to investing: $0</t>
        </r>
      </text>
    </comment>
    <comment ref="J17" authorId="0" shapeId="0" xr:uid="{00000000-0006-0000-0400-0000C2000000}">
      <text>
        <r>
          <rPr>
            <sz val="10"/>
            <rFont val="Arial"/>
            <family val="2"/>
          </rPr>
          <t>Source: FY2024 FS (Killam Q4 12-31-2024 FS - Final-4.pdf)
Items related to investing: $0</t>
        </r>
      </text>
    </comment>
    <comment ref="K17" authorId="0" shapeId="0" xr:uid="{00000000-0006-0000-0400-0000DB000000}">
      <text>
        <r>
          <rPr>
            <sz val="10"/>
            <rFont val="Arial"/>
            <family val="2"/>
          </rPr>
          <t>Source: FY2025 FS (Killam Q4 12-31-2025 FS-3.pdf)
Items related to investing: $0</t>
        </r>
      </text>
    </comment>
    <comment ref="I18" authorId="0" shapeId="0" xr:uid="{00000000-0006-0000-0400-0000AA000000}">
      <text>
        <r>
          <rPr>
            <sz val="10"/>
            <rFont val="Arial"/>
            <family val="2"/>
          </rPr>
          <t>Source: FS
Items related to financing: $0</t>
        </r>
      </text>
    </comment>
    <comment ref="J18" authorId="0" shapeId="0" xr:uid="{00000000-0006-0000-0400-0000C3000000}">
      <text>
        <r>
          <rPr>
            <sz val="10"/>
            <rFont val="Arial"/>
            <family val="2"/>
          </rPr>
          <t>Source: FY2024 FS (Killam Q4 12-31-2024 FS - Final-4.pdf)
Items related to financing: $0</t>
        </r>
      </text>
    </comment>
    <comment ref="K18" authorId="0" shapeId="0" xr:uid="{00000000-0006-0000-0400-0000DC000000}">
      <text>
        <r>
          <rPr>
            <sz val="10"/>
            <rFont val="Arial"/>
            <family val="2"/>
          </rPr>
          <t>Source: FY2025 FS (Killam Q4 12-31-2025 FS-3.pdf)
Items related to financing: $0</t>
        </r>
      </text>
    </comment>
    <comment ref="B20" authorId="0" shapeId="0" xr:uid="{00000000-0006-0000-0400-000008000000}">
      <text>
        <r>
          <rPr>
            <sz val="10"/>
            <rFont val="Arial"/>
            <family val="2"/>
          </rPr>
          <t>Source: FY2016 FS (Killam Q4 12-31-2016-FS), p.7
Cash from operating activities $63,584K FY2016, $50,947K FY2015</t>
        </r>
      </text>
    </comment>
    <comment ref="C20" authorId="0" shapeId="0" xr:uid="{00000000-0006-0000-0400-00001F000000}">
      <text>
        <r>
          <rPr>
            <sz val="10"/>
            <rFont val="Arial"/>
            <family val="2"/>
          </rPr>
          <t>Source: FY2017 AR (Killam.AR_.17-3.pdf), p.79 (CFS)
Cash from operating activities $82,916K FY2017, $64,011K FY2016
Note: FY2016 comparator $64,011 differs from FY2016 FS ($63,584) — restated</t>
        </r>
      </text>
    </comment>
    <comment ref="D20" authorId="0" shapeId="0" xr:uid="{00000000-0006-0000-0400-000036000000}">
      <text>
        <r>
          <rPr>
            <sz val="10"/>
            <rFont val="Arial"/>
            <family val="2"/>
          </rPr>
          <t>Source: FY2018 FS (Killam Q4 12-31-2018-FS Final-3.pdf), p.9 (CFS)
Cash from operating activities $89,738K FY2018, $82,916K FY2017</t>
        </r>
      </text>
    </comment>
    <comment ref="E20" authorId="0" shapeId="0" xr:uid="{00000000-0006-0000-0400-00004D000000}">
      <text>
        <r>
          <rPr>
            <sz val="10"/>
            <rFont val="Arial"/>
            <family val="2"/>
          </rPr>
          <t>Source: FY2019 FS (Killam Q4 12-31-2019 FS FINAL-3.pdf), p.9 (CFS)
Cash from operating activities $95,208K FY2019, $89,738K FY2018</t>
        </r>
      </text>
    </comment>
    <comment ref="F20" authorId="0" shapeId="0" xr:uid="{00000000-0006-0000-0400-000064000000}">
      <text>
        <r>
          <rPr>
            <sz val="10"/>
            <rFont val="Arial"/>
            <family val="2"/>
          </rPr>
          <t>Source: FY2020 FS (Killam Q4 12-31-2020 FS for Release-4.pdf), p.10 (CFS)
Cash from operating activities $123,514K FY2020</t>
        </r>
      </text>
    </comment>
    <comment ref="G20" authorId="0" shapeId="0" xr:uid="{00000000-0006-0000-0400-00007B000000}">
      <text>
        <r>
          <rPr>
            <sz val="10"/>
            <rFont val="Arial"/>
            <family val="2"/>
          </rPr>
          <t>Source: FY2021 FS (KillamQ42021FS-3.pdf), p.4 (CFS)
Cash from operating activities $140,860K FY2021</t>
        </r>
      </text>
    </comment>
    <comment ref="H20" authorId="0" shapeId="0" xr:uid="{00000000-0006-0000-0400-000092000000}">
      <text>
        <r>
          <rPr>
            <sz val="10"/>
            <rFont val="Arial"/>
            <family val="2"/>
          </rPr>
          <t>Source: FY2022 FS (KMP.UN - FS Q4 12-31-2022-2.pdf), p.10 (CFS)
Cash from operating activities $125,331K FY2022
Note: decline from $140,860K FY2021 despite higher NOI — working capital drag of $(13,534)K</t>
        </r>
      </text>
    </comment>
    <comment ref="I20" authorId="0" shapeId="0" xr:uid="{00000000-0006-0000-0400-0000AB000000}">
      <text>
        <r>
          <rPr>
            <sz val="10"/>
            <rFont val="Arial"/>
            <family val="2"/>
          </rPr>
          <t>Source: FY2023 FS (Killam Q4 12-31-2023 FS-2.pdf) (CFS) / FY2023 MDA (Killam Q4 12-31-2023 MDA-2.pdf), p.34
Cash from operating activities $139,734K FY2023</t>
        </r>
      </text>
    </comment>
    <comment ref="J20" authorId="0" shapeId="0" xr:uid="{00000000-0006-0000-0400-0000C4000000}">
      <text>
        <r>
          <rPr>
            <sz val="10"/>
            <rFont val="Arial"/>
            <family val="2"/>
          </rPr>
          <t>Source: FY2024 FS (Killam Q4 12-31-2024 FS - Final-4.pdf), p.4 (CFS)
Cash from operating activities $160,140K FY2024
Strong increase from $139,734K FY2023</t>
        </r>
      </text>
    </comment>
    <comment ref="K20" authorId="0" shapeId="0" xr:uid="{00000000-0006-0000-0400-0000DD000000}">
      <text>
        <r>
          <rPr>
            <sz val="10"/>
            <rFont val="Arial"/>
            <family val="2"/>
          </rPr>
          <t>Source: FY2025 FS (Killam Q4 12-31-2025 FS-3.pdf), p.11 (CFS)
Cash from operating activities $145,940K FY2025
Down from $160,140K FY2024 — working capital drag $(13,179)K vs $15,435K positive FY2024</t>
        </r>
      </text>
    </comment>
    <comment ref="B21" authorId="0" shapeId="0" xr:uid="{00000000-0006-0000-0400-000009000000}">
      <text>
        <r>
          <rPr>
            <sz val="10"/>
            <rFont val="Arial"/>
            <family val="2"/>
          </rPr>
          <t>Source: FY2016 FS (Killam Q4 12-31-2016-FS), p.7
CFO cross-check: $63,584K — matches row 20
Also confirmed: FY2016 MD&amp;A (Killam Q4 12-31-2016-MDA), p.28 (AFFO reconciliation)</t>
        </r>
      </text>
    </comment>
    <comment ref="C21" authorId="0" shapeId="0" xr:uid="{00000000-0006-0000-0400-000020000000}">
      <text>
        <r>
          <rPr>
            <sz val="10"/>
            <rFont val="Arial"/>
            <family val="2"/>
          </rPr>
          <t>Source: FY2017 AR (Killam.AR_.17-3.pdf), p.79 (CFS)
CFO: $82,916K — cross-check matches row 20</t>
        </r>
      </text>
    </comment>
    <comment ref="D21" authorId="0" shapeId="0" xr:uid="{00000000-0006-0000-0400-000037000000}">
      <text>
        <r>
          <rPr>
            <sz val="10"/>
            <rFont val="Arial"/>
            <family val="2"/>
          </rPr>
          <t>Source: FY2018 FS (Killam Q4 12-31-2018-FS Final-3.pdf), p.9 (CFS)
CFO: $89,738K — cross-check matches row 20</t>
        </r>
      </text>
    </comment>
    <comment ref="E21" authorId="0" shapeId="0" xr:uid="{00000000-0006-0000-0400-00004E000000}">
      <text>
        <r>
          <rPr>
            <sz val="10"/>
            <rFont val="Arial"/>
            <family val="2"/>
          </rPr>
          <t>Source: FY2019 FS (Killam Q4 12-31-2019 FS FINAL-3.pdf), p.9 (CFS)
CFO: $95,208K — cross-check matches row 20</t>
        </r>
      </text>
    </comment>
    <comment ref="F21" authorId="0" shapeId="0" xr:uid="{00000000-0006-0000-0400-000065000000}">
      <text>
        <r>
          <rPr>
            <sz val="10"/>
            <rFont val="Arial"/>
            <family val="2"/>
          </rPr>
          <t>Source: FY2020 FS (Killam Q4 12-31-2020 FS for Release-4.pdf), p.10 (CFS)
CFO: $123,514K — cross-check matches row 20</t>
        </r>
      </text>
    </comment>
    <comment ref="G21" authorId="0" shapeId="0" xr:uid="{00000000-0006-0000-0400-00007C000000}">
      <text>
        <r>
          <rPr>
            <sz val="10"/>
            <rFont val="Arial"/>
            <family val="2"/>
          </rPr>
          <t>Source: FY2021 FS (KillamQ42021FS-3.pdf), p.4 (CFS)
CFO: $140,860K — cross-check matches row 20</t>
        </r>
      </text>
    </comment>
    <comment ref="H21" authorId="0" shapeId="0" xr:uid="{00000000-0006-0000-0400-000093000000}">
      <text>
        <r>
          <rPr>
            <sz val="10"/>
            <rFont val="Arial"/>
            <family val="2"/>
          </rPr>
          <t>Source: FY2022 FS (KMP.UN - FS Q4 12-31-2022-2.pdf), p.10 (CFS)
CFO: $125,331K</t>
        </r>
      </text>
    </comment>
    <comment ref="I21" authorId="0" shapeId="0" xr:uid="{00000000-0006-0000-0400-0000AC000000}">
      <text>
        <r>
          <rPr>
            <sz val="10"/>
            <rFont val="Arial"/>
            <family val="2"/>
          </rPr>
          <t>Source: FY2023 FS (Killam Q4 12-31-2023 FS-2.pdf) (CFS)
CFO: $139,734K — cross-check</t>
        </r>
      </text>
    </comment>
    <comment ref="J21" authorId="0" shapeId="0" xr:uid="{00000000-0006-0000-0400-0000C5000000}">
      <text>
        <r>
          <rPr>
            <sz val="10"/>
            <rFont val="Arial"/>
            <family val="2"/>
          </rPr>
          <t>Source: FY2024 FS (Killam Q4 12-31-2024 FS - Final-4.pdf), p.4 (CFS)
CFO: $160,140K</t>
        </r>
      </text>
    </comment>
    <comment ref="K21" authorId="0" shapeId="0" xr:uid="{00000000-0006-0000-0400-0000DE000000}">
      <text>
        <r>
          <rPr>
            <sz val="10"/>
            <rFont val="Arial"/>
            <family val="2"/>
          </rPr>
          <t>Source: FY2025 FS (Killam Q4 12-31-2025 FS-3.pdf), p.11 (CFS)
CFO: $145,940K</t>
        </r>
      </text>
    </comment>
    <comment ref="B24" authorId="0" shapeId="0" xr:uid="{00000000-0006-0000-0400-00000A000000}">
      <text>
        <r>
          <rPr>
            <sz val="10"/>
            <rFont val="Arial"/>
            <family val="2"/>
          </rPr>
          <t>Source: FY2016 FS (Killam Q4 12-31-2016-FS), p.7
Capital expenditures $(33,460)K FY2016, $(32,778)K FY2015
Note: this is the FS CFS line 'Capital expenditures' — includes all property-level capex
Ref: FY2016 MD&amp;A (Killam Q4 12-31-2016-MDA), p.31 — MD&amp;A detail shows $32,775K by category (Apt $30,139 + MHC $2,098 + Comm $538)
Difference of $685K = corporate-level capital not in MD&amp;A property breakdown</t>
        </r>
      </text>
    </comment>
    <comment ref="C24" authorId="0" shapeId="0" xr:uid="{00000000-0006-0000-0400-000021000000}">
      <text>
        <r>
          <rPr>
            <sz val="10"/>
            <rFont val="Arial"/>
            <family val="2"/>
          </rPr>
          <t>Source: FY2017 AR (Killam.AR_.17-3.pdf), p.79 (CFS)
Capital expenditures $(31,172)K FY2017
Ref: FY2017 AR (Killam.AR_.17-3.pdf), p.55 (MDA section) — MD&amp;A detail: $30,995K (Apt $26,959 + MHC $3,227 + Comm $809)
Difference of $177K = corporate-level capital</t>
        </r>
      </text>
    </comment>
    <comment ref="D24" authorId="0" shapeId="0" xr:uid="{00000000-0006-0000-0400-000038000000}">
      <text>
        <r>
          <rPr>
            <sz val="10"/>
            <rFont val="Arial"/>
            <family val="2"/>
          </rPr>
          <t>Source: FY2018 FS (Killam Q4 12-31-2018-FS Final-3.pdf), p.9 (CFS)
Capital expenditures $(47,814)K FY2018
Ref: FY2018 MDA (Killam Q4 12-31-2018-MDA - FINAL-3.pdf), p.33 — MD&amp;A detail: $46,488K by category
Difference of ~$1,326K = corporate-level or other capital</t>
        </r>
      </text>
    </comment>
    <comment ref="E24" authorId="0" shapeId="0" xr:uid="{00000000-0006-0000-0400-00004F000000}">
      <text>
        <r>
          <rPr>
            <sz val="10"/>
            <rFont val="Arial"/>
            <family val="2"/>
          </rPr>
          <t>Source: FY2019 FS (Killam Q4 12-31-2019 FS FINAL-3.pdf), p.9 (CFS)
Capital expenditures $(73,419)K FY2019
Ref: FY2019 MDA (Killam Q4 12-31-2019 MDA FINAL-3.pdf), p.33 — significant increase from $(47,814)K FY2018
Includes expanded suite renovation program and energy efficiency investments</t>
        </r>
      </text>
    </comment>
    <comment ref="F24" authorId="0" shapeId="0" xr:uid="{00000000-0006-0000-0400-000066000000}">
      <text>
        <r>
          <rPr>
            <sz val="10"/>
            <rFont val="Arial"/>
            <family val="2"/>
          </rPr>
          <t>Source: FY2020 FS (Killam Q4 12-31-2020 FS for Release-4.pdf), p.10 (CFS)
Capital expenditures $(69,651)K FY2020
Ref: FY2020 MDA (Killam Q4 12-31-2020 MDA for Release-4.pdf) — MD&amp;A property capital detail for category breakdown</t>
        </r>
      </text>
    </comment>
    <comment ref="G24" authorId="0" shapeId="0" xr:uid="{00000000-0006-0000-0400-00007D000000}">
      <text>
        <r>
          <rPr>
            <sz val="10"/>
            <rFont val="Arial"/>
            <family val="2"/>
          </rPr>
          <t>Source: FY2021 FS (KillamQ42021FS-3.pdf), p.4 (CFS)
Capital expenditures $(76,812)K FY2021</t>
        </r>
      </text>
    </comment>
    <comment ref="H24" authorId="0" shapeId="0" xr:uid="{00000000-0006-0000-0400-000094000000}">
      <text>
        <r>
          <rPr>
            <sz val="10"/>
            <rFont val="Arial"/>
            <family val="2"/>
          </rPr>
          <t>Source: FY2022 FS (KMP.UN - FS Q4 12-31-2022-2.pdf), p.10 (CFS)
Capital expenditures $(93,920)K FY2022
Significant increase from $(76,812)K FY2021
Capex/NOI = 45.4% — highest in the series</t>
        </r>
      </text>
    </comment>
    <comment ref="I24" authorId="0" shapeId="0" xr:uid="{00000000-0006-0000-0400-0000AD000000}">
      <text>
        <r>
          <rPr>
            <sz val="10"/>
            <rFont val="Arial"/>
            <family val="2"/>
          </rPr>
          <t>Source: FY2023 FS (Killam Q4 12-31-2023 FS-2.pdf) (CFS)
Capital expenditures $(98,386)K FY2023
Capex/NOI = 43.9%</t>
        </r>
      </text>
    </comment>
    <comment ref="J24" authorId="0" shapeId="0" xr:uid="{00000000-0006-0000-0400-0000C6000000}">
      <text>
        <r>
          <rPr>
            <sz val="10"/>
            <rFont val="Arial"/>
            <family val="2"/>
          </rPr>
          <t>Source: FY2024 FS (Killam Q4 12-31-2024 FS - Final-4.pdf), p.4 (CFS)
Capital expenditures $(93,908)K FY2024
Slightly down from $(98,386)K FY2023
Ref: FY2024 MDA (Killam Q4 12-31-2024 MDA - Final-4.pdf), p.43 — $4,036 per apt unit</t>
        </r>
      </text>
    </comment>
    <comment ref="K24" authorId="0" shapeId="0" xr:uid="{00000000-0006-0000-0400-0000DF000000}">
      <text>
        <r>
          <rPr>
            <sz val="10"/>
            <rFont val="Arial"/>
            <family val="2"/>
          </rPr>
          <t>Source: FY2025 FS (Killam Q4 12-31-2025 FS-3.pdf), p.11 (CFS)
Capital expenditures $(79,608)K FY2025
Down from $(93,908)K FY2024 — capex intensity declining</t>
        </r>
      </text>
    </comment>
    <comment ref="B25" authorId="0" shapeId="0" xr:uid="{00000000-0006-0000-0400-00000B000000}">
      <text>
        <r>
          <rPr>
            <sz val="10"/>
            <rFont val="Arial"/>
            <family val="2"/>
          </rPr>
          <t>Source: FY2016 FS (Killam Q4 12-31-2016-FS), p.7
Investment property acquisitions, net of debt assumed $(46,897)K FY2016
Ref: FY2016 MD&amp;A (Killam Q4 12-31-2016-MDA), p.30 — 482 units acquired, $71,517K total purchase price</t>
        </r>
      </text>
    </comment>
    <comment ref="C25" authorId="0" shapeId="0" xr:uid="{00000000-0006-0000-0400-000022000000}">
      <text>
        <r>
          <rPr>
            <sz val="10"/>
            <rFont val="Arial"/>
            <family val="2"/>
          </rPr>
          <t>Source: FY2017 AR (Killam.AR_.17-3.pdf), p.79 (CFS)
Investment property acquisitions $(181,459)K FY2017
Ref: p.31 — total acquisitions ~$200M</t>
        </r>
      </text>
    </comment>
    <comment ref="D25" authorId="0" shapeId="0" xr:uid="{00000000-0006-0000-0400-000039000000}">
      <text>
        <r>
          <rPr>
            <sz val="10"/>
            <rFont val="Arial"/>
            <family val="2"/>
          </rPr>
          <t>Source: FY2018 FS (Killam Q4 12-31-2018-FS Final-3.pdf), p.9 (CFS)
Investment property acquisitions $(229,349)K FY2018
Ref: FY2018 MDA (Killam Q4 12-31-2018-MDA - FINAL-3.pdf), p.30 — $287,775K total acquisition volume</t>
        </r>
      </text>
    </comment>
    <comment ref="E25" authorId="0" shapeId="0" xr:uid="{00000000-0006-0000-0400-000050000000}">
      <text>
        <r>
          <rPr>
            <sz val="10"/>
            <rFont val="Arial"/>
            <family val="2"/>
          </rPr>
          <t>Source: FY2019 FS (Killam Q4 12-31-2019 FS FINAL-3.pdf), p.9 (CFS)
Acquisition of IP $(133,426)K FY2019</t>
        </r>
      </text>
    </comment>
    <comment ref="F25" authorId="0" shapeId="0" xr:uid="{00000000-0006-0000-0400-000067000000}">
      <text>
        <r>
          <rPr>
            <sz val="10"/>
            <rFont val="Arial"/>
            <family val="2"/>
          </rPr>
          <t>Source: FY2020 FS (Killam Q4 12-31-2020 FS for Release-4.pdf), p.10 (CFS)
Acquisition of IP $(206,274)K FY2020
Ref: FY2020 MDA (Killam Q4 12-31-2020 MDA for Release-4.pdf) — $211.1M total acquisition volume</t>
        </r>
      </text>
    </comment>
    <comment ref="G25" authorId="0" shapeId="0" xr:uid="{00000000-0006-0000-0400-00007E000000}">
      <text>
        <r>
          <rPr>
            <sz val="10"/>
            <rFont val="Arial"/>
            <family val="2"/>
          </rPr>
          <t>Source: FY2021 FS (KillamQ42021FS-3.pdf), p.4 (CFS)
Acquisition of IP $(338,068)K FY2021
Ref: FY2021 MDA (KillamQ42021 MDA-3.pdf) — $399.4M total acquisition volume, 1,563 units acquired</t>
        </r>
      </text>
    </comment>
    <comment ref="H25" authorId="0" shapeId="0" xr:uid="{00000000-0006-0000-0400-000095000000}">
      <text>
        <r>
          <rPr>
            <sz val="10"/>
            <rFont val="Arial"/>
            <family val="2"/>
          </rPr>
          <t>Source: FY2022 FS (KMP.UN - FS Q4 12-31-2022-2.pdf), p.10 (CFS)
Acquisition of IP $(103,338)K FY2022</t>
        </r>
      </text>
    </comment>
    <comment ref="I25" authorId="0" shapeId="0" xr:uid="{00000000-0006-0000-0400-0000AE000000}">
      <text>
        <r>
          <rPr>
            <sz val="10"/>
            <rFont val="Arial"/>
            <family val="2"/>
          </rPr>
          <t>Source: FY2023 FS (Killam Q4 12-31-2023 FS-2.pdf) (CFS)
Acquisition of IP $(13,153)K FY2023
Major shift: acquisitions dropped from $(103,338)K FY2022 to $(13,153)K — capital recycling year</t>
        </r>
      </text>
    </comment>
    <comment ref="J25" authorId="0" shapeId="0" xr:uid="{00000000-0006-0000-0400-0000C7000000}">
      <text>
        <r>
          <rPr>
            <sz val="10"/>
            <rFont val="Arial"/>
            <family val="2"/>
          </rPr>
          <t>Source: FY2024 FS (Killam Q4 12-31-2024 FS - Final-4.pdf), p.4 (CFS)
Acquisition of IP $(17,007)K FY2024
Minimal — continued capital recycling focus</t>
        </r>
      </text>
    </comment>
    <comment ref="K25" authorId="0" shapeId="0" xr:uid="{00000000-0006-0000-0400-0000E0000000}">
      <text>
        <r>
          <rPr>
            <sz val="10"/>
            <rFont val="Arial"/>
            <family val="2"/>
          </rPr>
          <t>Source: FY2025 FS (Killam Q4 12-31-2025 FS-3.pdf), p.11 (CFS)
Acquisition of IP $(75,580)K FY2025
Acquisitions rebounding after minimal FY2023-24 activity</t>
        </r>
      </text>
    </comment>
    <comment ref="B27" authorId="0" shapeId="0" xr:uid="{00000000-0006-0000-0400-00000C000000}">
      <text>
        <r>
          <rPr>
            <sz val="10"/>
            <rFont val="Arial"/>
            <family val="2"/>
          </rPr>
          <t>Source: FY2016 FS (Killam Q4 12-31-2016-FS), p.7
Disposition of investment property $8K FY2016</t>
        </r>
      </text>
    </comment>
    <comment ref="C27" authorId="0" shapeId="0" xr:uid="{00000000-0006-0000-0400-000023000000}">
      <text>
        <r>
          <rPr>
            <sz val="10"/>
            <rFont val="Arial"/>
            <family val="2"/>
          </rPr>
          <t>Source: FY2017 AR (Killam.AR_.17-3.pdf), p.79 (CFS)
Disposition proceeds: $0 FY2017
Note: IP rollforward (p.52) shows dispositions of $16,616K but this reflects net CFS cash — possibly timing/debt assumed</t>
        </r>
      </text>
    </comment>
    <comment ref="D27" authorId="0" shapeId="0" xr:uid="{00000000-0006-0000-0400-00003A000000}">
      <text>
        <r>
          <rPr>
            <sz val="10"/>
            <rFont val="Arial"/>
            <family val="2"/>
          </rPr>
          <t>Source: FY2018 FS (Killam Q4 12-31-2018-FS Final-3.pdf), p.9 (CFS)
Disposition proceeds $1,460K FY2018</t>
        </r>
      </text>
    </comment>
    <comment ref="E27" authorId="0" shapeId="0" xr:uid="{00000000-0006-0000-0400-000051000000}">
      <text>
        <r>
          <rPr>
            <sz val="10"/>
            <rFont val="Arial"/>
            <family val="2"/>
          </rPr>
          <t>Source: FY2019 FS (Killam Q4 12-31-2019 FS FINAL-3.pdf), p.9 (CFS)
Disposition of IP $11,520K FY2019</t>
        </r>
      </text>
    </comment>
    <comment ref="F27" authorId="0" shapeId="0" xr:uid="{00000000-0006-0000-0400-000068000000}">
      <text>
        <r>
          <rPr>
            <sz val="10"/>
            <rFont val="Arial"/>
            <family val="2"/>
          </rPr>
          <t>Source: FY2020 FS (Killam Q4 12-31-2020 FS for Release-4.pdf), p.10 (CFS)
Disposition of IP: $0 FY2020</t>
        </r>
      </text>
    </comment>
    <comment ref="G27" authorId="0" shapeId="0" xr:uid="{00000000-0006-0000-0400-00007F000000}">
      <text>
        <r>
          <rPr>
            <sz val="10"/>
            <rFont val="Arial"/>
            <family val="2"/>
          </rPr>
          <t>Source: FY2021 FS (KillamQ42021FS-3.pdf), p.4 (CFS)
Disposition of IP: $0 FY2021</t>
        </r>
      </text>
    </comment>
    <comment ref="H27" authorId="0" shapeId="0" xr:uid="{00000000-0006-0000-0400-000096000000}">
      <text>
        <r>
          <rPr>
            <sz val="10"/>
            <rFont val="Arial"/>
            <family val="2"/>
          </rPr>
          <t>Source: FY2022 FS (KMP.UN - FS Q4 12-31-2022-2.pdf), p.10 (CFS)
Disposition of IP: $0 FY2022</t>
        </r>
      </text>
    </comment>
    <comment ref="I27" authorId="0" shapeId="0" xr:uid="{00000000-0006-0000-0400-0000AF000000}">
      <text>
        <r>
          <rPr>
            <sz val="10"/>
            <rFont val="Arial"/>
            <family val="2"/>
          </rPr>
          <t>Source: FY2023 FS (Killam Q4 12-31-2023 FS-2.pdf) (CFS)
Disposition of IP $91,307K FY2023
Ref: FY2023 MDA (Killam Q4 12-31-2023 MDA-2.pdf), p.41 — 1,122 units disposed, $168,670K sale price, $93,860K net proceeds</t>
        </r>
      </text>
    </comment>
    <comment ref="J27" authorId="0" shapeId="0" xr:uid="{00000000-0006-0000-0400-0000C8000000}">
      <text>
        <r>
          <rPr>
            <sz val="10"/>
            <rFont val="Arial"/>
            <family val="2"/>
          </rPr>
          <t>Source: FY2024 FS (Killam Q4 12-31-2024 FS - Final-4.pdf), p.4 (CFS)
Disposition proceeds $39,067K FY2024
Ref: FY2024 MDA (Killam Q4 12-31-2024 MDA - Final-4.pdf), p.16 — $59,170K gross proceeds</t>
        </r>
      </text>
    </comment>
    <comment ref="K27" authorId="0" shapeId="0" xr:uid="{00000000-0006-0000-0400-0000E1000000}">
      <text>
        <r>
          <rPr>
            <sz val="10"/>
            <rFont val="Arial"/>
            <family val="2"/>
          </rPr>
          <t>Source: FY2025 FS (Killam Q4 12-31-2025 FS-3.pdf), p.11 (CFS)
Disposition proceeds $81,426K FY2025
Continued capital recycling</t>
        </r>
      </text>
    </comment>
    <comment ref="B28" authorId="0" shapeId="0" xr:uid="{00000000-0006-0000-0400-00000D000000}">
      <text>
        <r>
          <rPr>
            <sz val="10"/>
            <rFont val="Arial"/>
            <family val="2"/>
          </rPr>
          <t>Source: FY2016 FS (Killam Q4 12-31-2016-FS), p.7
Development of investment properties $(25,324)K FY2016
Ref: FY2016 MD&amp;A (Killam Q4 12-31-2016-MDA), p.30 — IPUC capex $24,411 + capitalized interest $910</t>
        </r>
      </text>
    </comment>
    <comment ref="C28" authorId="0" shapeId="0" xr:uid="{00000000-0006-0000-0400-000024000000}">
      <text>
        <r>
          <rPr>
            <sz val="10"/>
            <rFont val="Arial"/>
            <family val="2"/>
          </rPr>
          <t>Source: FY2017 AR (Killam.AR_.17-3.pdf), p.79 (CFS)
Development of investment properties $(53,313)K FY2017</t>
        </r>
      </text>
    </comment>
    <comment ref="D28" authorId="0" shapeId="0" xr:uid="{00000000-0006-0000-0400-00003B000000}">
      <text>
        <r>
          <rPr>
            <sz val="10"/>
            <rFont val="Arial"/>
            <family val="2"/>
          </rPr>
          <t>Source: FY2018 FS (Killam Q4 12-31-2018-FS Final-3.pdf), p.9 (CFS)
Development of investment properties $(60,477)K FY2018</t>
        </r>
      </text>
    </comment>
    <comment ref="E28" authorId="0" shapeId="0" xr:uid="{00000000-0006-0000-0400-000052000000}">
      <text>
        <r>
          <rPr>
            <sz val="10"/>
            <rFont val="Arial"/>
            <family val="2"/>
          </rPr>
          <t>Source: FY2019 FS (Killam Q4 12-31-2019 FS FINAL-3.pdf), p.9 (CFS)
Development of IP $(38,390)K FY2019</t>
        </r>
      </text>
    </comment>
    <comment ref="F28" authorId="0" shapeId="0" xr:uid="{00000000-0006-0000-0400-000069000000}">
      <text>
        <r>
          <rPr>
            <sz val="10"/>
            <rFont val="Arial"/>
            <family val="2"/>
          </rPr>
          <t>Source: FY2020 FS (Killam Q4 12-31-2020 FS for Release-4.pdf), p.10 (CFS)
Development of IP $(81,975)K FY2020</t>
        </r>
      </text>
    </comment>
    <comment ref="G28" authorId="0" shapeId="0" xr:uid="{00000000-0006-0000-0400-000080000000}">
      <text>
        <r>
          <rPr>
            <sz val="10"/>
            <rFont val="Arial"/>
            <family val="2"/>
          </rPr>
          <t>Source: FY2021 FS (KillamQ42021FS-3.pdf), p.4 (CFS)
Development of IP $(77,962)K FY2021</t>
        </r>
      </text>
    </comment>
    <comment ref="H28" authorId="0" shapeId="0" xr:uid="{00000000-0006-0000-0400-000097000000}">
      <text>
        <r>
          <rPr>
            <sz val="10"/>
            <rFont val="Arial"/>
            <family val="2"/>
          </rPr>
          <t>Source: FY2022 FS (KMP.UN - FS Q4 12-31-2022-2.pdf), p.10 (CFS)
Development of IP $(80,077)K FY2022</t>
        </r>
      </text>
    </comment>
    <comment ref="I28" authorId="0" shapeId="0" xr:uid="{00000000-0006-0000-0400-0000B0000000}">
      <text>
        <r>
          <rPr>
            <sz val="10"/>
            <rFont val="Arial"/>
            <family val="2"/>
          </rPr>
          <t>Source: FY2023 FS (Killam Q4 12-31-2023 FS-2.pdf) (CFS)
Development of IP $(49,947)K FY2023</t>
        </r>
      </text>
    </comment>
    <comment ref="J28" authorId="0" shapeId="0" xr:uid="{00000000-0006-0000-0400-0000C9000000}">
      <text>
        <r>
          <rPr>
            <sz val="10"/>
            <rFont val="Arial"/>
            <family val="2"/>
          </rPr>
          <t>Source: FY2024 FS (Killam Q4 12-31-2024 FS - Final-4.pdf), p.4 (CFS)
Development of IP $(52,192)K FY2024</t>
        </r>
      </text>
    </comment>
    <comment ref="K28" authorId="0" shapeId="0" xr:uid="{00000000-0006-0000-0400-0000E2000000}">
      <text>
        <r>
          <rPr>
            <sz val="10"/>
            <rFont val="Arial"/>
            <family val="2"/>
          </rPr>
          <t>Source: FY2025 FS (Killam Q4 12-31-2025 FS-3.pdf), p.11 (CFS)
Development of IP $(74,066)K FY2025
Significant increase from $(52,192)K FY2024 — new pipeline ramping</t>
        </r>
      </text>
    </comment>
    <comment ref="B33" authorId="0" shapeId="0" xr:uid="{00000000-0006-0000-0400-00000E000000}">
      <text>
        <r>
          <rPr>
            <sz val="10"/>
            <rFont val="Arial"/>
            <family val="2"/>
          </rPr>
          <t>Source: FY2016 FS (Killam Q4 12-31-2016-FS), p.7
Mortgage financing $200,537K FY2016
Ref: FY2016 MD&amp;A (Killam Q4 12-31-2016-MDA), p.35 — refinanced $120M maturing at 4.20% with $186.6M at 2.34% WA rate</t>
        </r>
      </text>
    </comment>
    <comment ref="C33" authorId="0" shapeId="0" xr:uid="{00000000-0006-0000-0400-000025000000}">
      <text>
        <r>
          <rPr>
            <sz val="10"/>
            <rFont val="Arial"/>
            <family val="2"/>
          </rPr>
          <t>Source: FY2017 AR (Killam.AR_.17-3.pdf), p.79 (CFS)
Mortgage financing $183,835K FY2017</t>
        </r>
      </text>
    </comment>
    <comment ref="D33" authorId="0" shapeId="0" xr:uid="{00000000-0006-0000-0400-00003C000000}">
      <text>
        <r>
          <rPr>
            <sz val="10"/>
            <rFont val="Arial"/>
            <family val="2"/>
          </rPr>
          <t>Source: FY2018 FS (Killam Q4 12-31-2018-FS Final-3.pdf), p.9 (CFS)
Mortgage financing $286,609K FY2018</t>
        </r>
      </text>
    </comment>
    <comment ref="E33" authorId="0" shapeId="0" xr:uid="{00000000-0006-0000-0400-000053000000}">
      <text>
        <r>
          <rPr>
            <sz val="10"/>
            <rFont val="Arial"/>
            <family val="2"/>
          </rPr>
          <t>Source: FY2019 FS (Killam Q4 12-31-2019 FS FINAL-3.pdf), p.9 (CFS)
Mortgage financing $332,658K FY2019</t>
        </r>
      </text>
    </comment>
    <comment ref="F33" authorId="0" shapeId="0" xr:uid="{00000000-0006-0000-0400-00006A000000}">
      <text>
        <r>
          <rPr>
            <sz val="10"/>
            <rFont val="Arial"/>
            <family val="2"/>
          </rPr>
          <t>Source: FY2020 FS (Killam Q4 12-31-2020 FS for Release-4.pdf), p.10 (CFS)
Mortgage financing $433,501K FY2020</t>
        </r>
      </text>
    </comment>
    <comment ref="G33" authorId="0" shapeId="0" xr:uid="{00000000-0006-0000-0400-000081000000}">
      <text>
        <r>
          <rPr>
            <sz val="10"/>
            <rFont val="Arial"/>
            <family val="2"/>
          </rPr>
          <t>Source: FY2021 FS (KillamQ42021FS-3.pdf), p.4 (CFS)
Mortgage financing $381,133K FY2021</t>
        </r>
      </text>
    </comment>
    <comment ref="H33" authorId="0" shapeId="0" xr:uid="{00000000-0006-0000-0400-000098000000}">
      <text>
        <r>
          <rPr>
            <sz val="10"/>
            <rFont val="Arial"/>
            <family val="2"/>
          </rPr>
          <t>Source: FY2022 FS (KMP.UN - FS Q4 12-31-2022-2.pdf), p.10 (CFS)
Mortgage financing $283,027K FY2022</t>
        </r>
      </text>
    </comment>
    <comment ref="I33" authorId="0" shapeId="0" xr:uid="{00000000-0006-0000-0400-0000B1000000}">
      <text>
        <r>
          <rPr>
            <sz val="10"/>
            <rFont val="Arial"/>
            <family val="2"/>
          </rPr>
          <t>Source: FY2023 FS (Killam Q4 12-31-2023 FS-2.pdf) (CFS)
Mortgage financing $366,497K FY2023</t>
        </r>
      </text>
    </comment>
    <comment ref="J33" authorId="0" shapeId="0" xr:uid="{00000000-0006-0000-0400-0000CA000000}">
      <text>
        <r>
          <rPr>
            <sz val="10"/>
            <rFont val="Arial"/>
            <family val="2"/>
          </rPr>
          <t>Source: FY2024 FS (Killam Q4 12-31-2024 FS - Final-4.pdf), p.4 (CFS)
Mortgage financing $291,173K FY2024</t>
        </r>
      </text>
    </comment>
    <comment ref="K33" authorId="0" shapeId="0" xr:uid="{00000000-0006-0000-0400-0000E3000000}">
      <text>
        <r>
          <rPr>
            <sz val="10"/>
            <rFont val="Arial"/>
            <family val="2"/>
          </rPr>
          <t>Source: FY2025 FS (Killam Q4 12-31-2025 FS-3.pdf), p.11 (CFS)
Mortgage financing $315,075K FY2025</t>
        </r>
      </text>
    </comment>
    <comment ref="B34" authorId="0" shapeId="0" xr:uid="{00000000-0006-0000-0400-00000F000000}">
      <text>
        <r>
          <rPr>
            <sz val="10"/>
            <rFont val="Arial"/>
            <family val="2"/>
          </rPr>
          <t>Source: FY2016 FS (Killam Q4 12-31-2016-FS), p.7
Mortgages repaid on maturity $(105,831)K FY2016</t>
        </r>
      </text>
    </comment>
    <comment ref="C34" authorId="0" shapeId="0" xr:uid="{00000000-0006-0000-0400-000026000000}">
      <text>
        <r>
          <rPr>
            <sz val="10"/>
            <rFont val="Arial"/>
            <family val="2"/>
          </rPr>
          <t>Source: FY2017 AR (Killam.AR_.17-3.pdf), p.79 (CFS)
Mortgages repaid on maturity $(76,073)K FY2017</t>
        </r>
      </text>
    </comment>
    <comment ref="D34" authorId="0" shapeId="0" xr:uid="{00000000-0006-0000-0400-00003D000000}">
      <text>
        <r>
          <rPr>
            <sz val="10"/>
            <rFont val="Arial"/>
            <family val="2"/>
          </rPr>
          <t>Source: FY2018 FS (Killam Q4 12-31-2018-FS Final-3.pdf), p.9 (CFS)
Mortgages repaid on maturity $(85,579)K FY2018</t>
        </r>
      </text>
    </comment>
    <comment ref="E34" authorId="0" shapeId="0" xr:uid="{00000000-0006-0000-0400-000054000000}">
      <text>
        <r>
          <rPr>
            <sz val="10"/>
            <rFont val="Arial"/>
            <family val="2"/>
          </rPr>
          <t>Source: FY2019 FS (Killam Q4 12-31-2019 FS FINAL-3.pdf), p.9 (CFS)
Mortgages repaid $(191,892)K FY2019</t>
        </r>
      </text>
    </comment>
    <comment ref="F34" authorId="0" shapeId="0" xr:uid="{00000000-0006-0000-0400-00006B000000}">
      <text>
        <r>
          <rPr>
            <sz val="10"/>
            <rFont val="Arial"/>
            <family val="2"/>
          </rPr>
          <t>Source: FY2020 FS (Killam Q4 12-31-2020 FS for Release-4.pdf), p.10 (CFS)
Mortgages repaid $(187,568)K FY2020</t>
        </r>
      </text>
    </comment>
    <comment ref="G34" authorId="0" shapeId="0" xr:uid="{00000000-0006-0000-0400-000082000000}">
      <text>
        <r>
          <rPr>
            <sz val="10"/>
            <rFont val="Arial"/>
            <family val="2"/>
          </rPr>
          <t>Source: FY2021 FS (KillamQ42021FS-3.pdf), p.4 (CFS)
Mortgages repaid $(101,866)K FY2021</t>
        </r>
      </text>
    </comment>
    <comment ref="H34" authorId="0" shapeId="0" xr:uid="{00000000-0006-0000-0400-000099000000}">
      <text>
        <r>
          <rPr>
            <sz val="10"/>
            <rFont val="Arial"/>
            <family val="2"/>
          </rPr>
          <t>Source: FY2022 FS (KMP.UN - FS Q4 12-31-2022-2.pdf), p.10 (CFS)
Mortgages repaid $(163,461)K FY2022</t>
        </r>
      </text>
    </comment>
    <comment ref="I34" authorId="0" shapeId="0" xr:uid="{00000000-0006-0000-0400-0000B2000000}">
      <text>
        <r>
          <rPr>
            <sz val="10"/>
            <rFont val="Arial"/>
            <family val="2"/>
          </rPr>
          <t>Source: FY2023 FS (Killam Q4 12-31-2023 FS-2.pdf) (CFS)
Mortgages repaid $(149,320)K FY2023</t>
        </r>
      </text>
    </comment>
    <comment ref="J34" authorId="0" shapeId="0" xr:uid="{00000000-0006-0000-0400-0000CB000000}">
      <text>
        <r>
          <rPr>
            <sz val="10"/>
            <rFont val="Arial"/>
            <family val="2"/>
          </rPr>
          <t>Source: FY2024 FS (Killam Q4 12-31-2024 FS - Final-4.pdf), p.4 (CFS)
Mortgages repaid $(206,291)K FY2024</t>
        </r>
      </text>
    </comment>
    <comment ref="K34" authorId="0" shapeId="0" xr:uid="{00000000-0006-0000-0400-0000E4000000}">
      <text>
        <r>
          <rPr>
            <sz val="10"/>
            <rFont val="Arial"/>
            <family val="2"/>
          </rPr>
          <t>Source: FY2025 FS (Killam Q4 12-31-2025 FS-3.pdf), p.11 (CFS)
Mortgages repaid $(232,861)K FY2025</t>
        </r>
      </text>
    </comment>
    <comment ref="B35" authorId="0" shapeId="0" xr:uid="{00000000-0006-0000-0400-000010000000}">
      <text>
        <r>
          <rPr>
            <sz val="10"/>
            <rFont val="Arial"/>
            <family val="2"/>
          </rPr>
          <t>Source: FY2016 FS (Killam Q4 12-31-2016-FS), p.7
Mortgage principal repayments $(31,662)K FY2016</t>
        </r>
      </text>
    </comment>
    <comment ref="C35" authorId="0" shapeId="0" xr:uid="{00000000-0006-0000-0400-000027000000}">
      <text>
        <r>
          <rPr>
            <sz val="10"/>
            <rFont val="Arial"/>
            <family val="2"/>
          </rPr>
          <t>Source: FY2017 AR (Killam.AR_.17-3.pdf), p.79 (CFS)
Mortgage principal repayments $(35,467)K FY2017</t>
        </r>
      </text>
    </comment>
    <comment ref="D35" authorId="0" shapeId="0" xr:uid="{00000000-0006-0000-0400-00003E000000}">
      <text>
        <r>
          <rPr>
            <sz val="10"/>
            <rFont val="Arial"/>
            <family val="2"/>
          </rPr>
          <t>Source: FY2018 FS (Killam Q4 12-31-2018-FS Final-3.pdf), p.9 (CFS)
Mortgage principal repayments $(39,662)K FY2018</t>
        </r>
      </text>
    </comment>
    <comment ref="E35" authorId="0" shapeId="0" xr:uid="{00000000-0006-0000-0400-000055000000}">
      <text>
        <r>
          <rPr>
            <sz val="10"/>
            <rFont val="Arial"/>
            <family val="2"/>
          </rPr>
          <t>Source: FY2019 FS (Killam Q4 12-31-2019 FS FINAL-3.pdf), p.9 (CFS)
Mortgage principal repayments $(44,792)K FY2019</t>
        </r>
      </text>
    </comment>
    <comment ref="F35" authorId="0" shapeId="0" xr:uid="{00000000-0006-0000-0400-00006C000000}">
      <text>
        <r>
          <rPr>
            <sz val="10"/>
            <rFont val="Arial"/>
            <family val="2"/>
          </rPr>
          <t>Source: FY2020 FS (Killam Q4 12-31-2020 FS for Release-4.pdf), p.10 (CFS)
Mortgage principal repayments $(51,592)K FY2020</t>
        </r>
      </text>
    </comment>
    <comment ref="G35" authorId="0" shapeId="0" xr:uid="{00000000-0006-0000-0400-000083000000}">
      <text>
        <r>
          <rPr>
            <sz val="10"/>
            <rFont val="Arial"/>
            <family val="2"/>
          </rPr>
          <t>Source: FY2021 FS (KillamQ42021FS-3.pdf), p.4 (CFS)
Mortgage principal repayments $(62,246)K FY2021</t>
        </r>
      </text>
    </comment>
    <comment ref="H35" authorId="0" shapeId="0" xr:uid="{00000000-0006-0000-0400-00009A000000}">
      <text>
        <r>
          <rPr>
            <sz val="10"/>
            <rFont val="Arial"/>
            <family val="2"/>
          </rPr>
          <t>Source: FY2022 FS (KMP.UN - FS Q4 12-31-2022-2.pdf), p.10 (CFS)
Mortgage principal repayments $(69,033)K FY2022</t>
        </r>
      </text>
    </comment>
    <comment ref="I35" authorId="0" shapeId="0" xr:uid="{00000000-0006-0000-0400-0000B3000000}">
      <text>
        <r>
          <rPr>
            <sz val="10"/>
            <rFont val="Arial"/>
            <family val="2"/>
          </rPr>
          <t>Source: FY2023 FS (Killam Q4 12-31-2023 FS-2.pdf) (CFS)
Mortgage principal repayments $(69,833)K FY2023</t>
        </r>
      </text>
    </comment>
    <comment ref="J35" authorId="0" shapeId="0" xr:uid="{00000000-0006-0000-0400-0000CC000000}">
      <text>
        <r>
          <rPr>
            <sz val="10"/>
            <rFont val="Arial"/>
            <family val="2"/>
          </rPr>
          <t>Source: FY2024 FS (Killam Q4 12-31-2024 FS - Final-4.pdf), p.4 (CFS)
Mortgage principal repayments $(67,631)K FY2024</t>
        </r>
      </text>
    </comment>
    <comment ref="K35" authorId="0" shapeId="0" xr:uid="{00000000-0006-0000-0400-0000E5000000}">
      <text>
        <r>
          <rPr>
            <sz val="10"/>
            <rFont val="Arial"/>
            <family val="2"/>
          </rPr>
          <t>Source: FY2025 FS (Killam Q4 12-31-2025 FS-3.pdf), p.11 (CFS)
Mortgage principal repayments $(67,320)K FY2025</t>
        </r>
      </text>
    </comment>
    <comment ref="B37" authorId="0" shapeId="0" xr:uid="{00000000-0006-0000-0400-000011000000}">
      <text>
        <r>
          <rPr>
            <sz val="10"/>
            <rFont val="Arial"/>
            <family val="2"/>
          </rPr>
          <t>Source: FY2016 FS (Killam Q4 12-31-2016-FS), p.7
Distributions to unitholders $(31,515)K FY2016 (cash paid, net of DRIP)
Ref: FY2016 MD&amp;A (Killam Q4 12-31-2016-MDA), p.28 — total declared $41,101K less DRIP $6,849 less RTU $114 = net cash $34,138K
Note: FS line $(31,515) = trust unit cash distributions only (excl exchangeable unit distributions)</t>
        </r>
      </text>
    </comment>
    <comment ref="C37" authorId="0" shapeId="0" xr:uid="{00000000-0006-0000-0400-000028000000}">
      <text>
        <r>
          <rPr>
            <sz val="10"/>
            <rFont val="Arial"/>
            <family val="2"/>
          </rPr>
          <t>Source: FY2017 AR (Killam.AR_.17-3.pdf), p.79 (CFS)
Distributions to unitholders $(36,711)K FY2017 (cash paid)
Ref: p.61 — total declared $48,832K; DRIP reinvestment $11,084K (23.2% participation)</t>
        </r>
      </text>
    </comment>
    <comment ref="D37" authorId="0" shapeId="0" xr:uid="{00000000-0006-0000-0400-00003F000000}">
      <text>
        <r>
          <rPr>
            <sz val="10"/>
            <rFont val="Arial"/>
            <family val="2"/>
          </rPr>
          <t>Source: FY2018 FS (Killam Q4 12-31-2018-FS Final-3.pdf), p.9 (CFS)
Distributions to unitholders $(41,618)K FY2018 (cash paid)
Ref: FY2018 MDA (Killam Q4 12-31-2018-MDA - FINAL-3.pdf), p.39 — total declared $56,321K; cash paid $41,580K</t>
        </r>
      </text>
    </comment>
    <comment ref="E37" authorId="0" shapeId="0" xr:uid="{00000000-0006-0000-0400-000056000000}">
      <text>
        <r>
          <rPr>
            <sz val="10"/>
            <rFont val="Arial"/>
            <family val="2"/>
          </rPr>
          <t>Source: FY2019 FS (Killam Q4 12-31-2019 FS FINAL-3.pdf), p.9 (CFS)
Distributions to unitholders $(45,041)K FY2019 (cash paid)
Ref: FY2019 MDA (Killam Q4 12-31-2019 MDA FINAL-3.pdf), p.43 — total declared $63,805K; DRIP $18,533K (29.0% participation)</t>
        </r>
      </text>
    </comment>
    <comment ref="F37" authorId="0" shapeId="0" xr:uid="{00000000-0006-0000-0400-00006D000000}">
      <text>
        <r>
          <rPr>
            <sz val="10"/>
            <rFont val="Arial"/>
            <family val="2"/>
          </rPr>
          <t>Source: FY2020 FS (Killam Q4 12-31-2020 FS for Release-4.pdf), p.10 (CFS)
Distributions to unitholders $(49,633)K FY2020 (cash paid, net of DRIP)
Ref: FY2020 MDA (Killam Q4 12-31-2020 MDA for Release-4.pdf), p.34 — total declared $71,731K; DRIP reinvested ~$22,098K</t>
        </r>
      </text>
    </comment>
    <comment ref="G37" authorId="0" shapeId="0" xr:uid="{00000000-0006-0000-0400-000084000000}">
      <text>
        <r>
          <rPr>
            <sz val="10"/>
            <rFont val="Arial"/>
            <family val="2"/>
          </rPr>
          <t>Source: FY2021 FS (KillamQ42021FS-3.pdf), p.4 (CFS)
Distributions to unitholders $(51,455)K FY2021 (cash paid)
Ref: FY2021 MDA (KillamQ42021 MDA-3.pdf), p.44 — total declared $77,925K; DRIP reinvested $25,657K</t>
        </r>
      </text>
    </comment>
    <comment ref="H37" authorId="0" shapeId="0" xr:uid="{00000000-0006-0000-0400-00009B000000}">
      <text>
        <r>
          <rPr>
            <sz val="10"/>
            <rFont val="Arial"/>
            <family val="2"/>
          </rPr>
          <t>Source: FY2022 FS (KMP.UN - FS Q4 12-31-2022-2.pdf), p.10 (CFS)
Distributions to unitholders $(59,094)K FY2022 (cash paid)
Ref: FY2022 MDA (KMP.UN - MDA Q4 12-31-2022-2.pdf), p.33 — total declared $84,722K</t>
        </r>
      </text>
    </comment>
    <comment ref="I37" authorId="0" shapeId="0" xr:uid="{00000000-0006-0000-0400-0000B4000000}">
      <text>
        <r>
          <rPr>
            <sz val="10"/>
            <rFont val="Arial"/>
            <family val="2"/>
          </rPr>
          <t>Source: FY2023 FS (Killam Q4 12-31-2023 FS-2.pdf) (CFS)
Distributions to unitholders $(57,197)K FY2023 (cash paid)
Ref: FY2023 MDA (Killam Q4 12-31-2023 MDA-2.pdf), p.34 — total declared $86,114K</t>
        </r>
      </text>
    </comment>
    <comment ref="J37" authorId="0" shapeId="0" xr:uid="{00000000-0006-0000-0400-0000CD000000}">
      <text>
        <r>
          <rPr>
            <sz val="10"/>
            <rFont val="Arial"/>
            <family val="2"/>
          </rPr>
          <t>Source: FY2024 FS (Killam Q4 12-31-2024 FS - Final-4.pdf), p.4 (CFS)
Distributions to unitholders $(60,487)K FY2024 (cash paid)
Ref: FY2024 MDA (Killam Q4 12-31-2024 MDA - Final-4.pdf), p.33 — total declared $87,510K; DRIP $23,469K (27.2% participation)</t>
        </r>
      </text>
    </comment>
    <comment ref="K37" authorId="0" shapeId="0" xr:uid="{00000000-0006-0000-0400-0000E6000000}">
      <text>
        <r>
          <rPr>
            <sz val="10"/>
            <rFont val="Arial"/>
            <family val="2"/>
          </rPr>
          <t>Source: FY2025 FS (Killam Q4 12-31-2025 FS-3.pdf), p.11 (CFS)
Distributions to unitholders $(63,106)K FY2025 (cash paid)
Ref: FY2025 MDA (Killam Q4 12-31-2025 MDA-2.pdf), p.33 — total declared $90,676K; DRIP $24.4M</t>
        </r>
      </text>
    </comment>
    <comment ref="B38" authorId="0" shapeId="0" xr:uid="{00000000-0006-0000-0400-000012000000}">
      <text>
        <r>
          <rPr>
            <sz val="10"/>
            <rFont val="Arial"/>
            <family val="2"/>
          </rPr>
          <t>Source: FY2016 FS (Killam Q4 12-31-2016-FS), p.7
Proceeds on issuance of units $93,491K FY2016
Ref: FY2016 MD&amp;A (Killam Q4 12-31-2016-MDA), p.6 — $98M equity raise June 2016</t>
        </r>
      </text>
    </comment>
    <comment ref="C38" authorId="0" shapeId="0" xr:uid="{00000000-0006-0000-0400-000029000000}">
      <text>
        <r>
          <rPr>
            <sz val="10"/>
            <rFont val="Arial"/>
            <family val="2"/>
          </rPr>
          <t>Source: FY2017 AR (Killam.AR_.17-3.pdf), p.79 (CFS)
Net proceeds on issuance of units $147,285K FY2017</t>
        </r>
      </text>
    </comment>
    <comment ref="D38" authorId="0" shapeId="0" xr:uid="{00000000-0006-0000-0400-000040000000}">
      <text>
        <r>
          <rPr>
            <sz val="10"/>
            <rFont val="Arial"/>
            <family val="2"/>
          </rPr>
          <t>Source: FY2018 FS (Killam Q4 12-31-2018-FS Final-3.pdf), p.9 (CFS)
Net proceeds on issuance of units $54,852K FY2018
Ref: FY2018 MDA (Killam Q4 12-31-2018-MDA - FINAL-3.pdf) — bought-deal June 2018: 3,846,750 units at $14.95</t>
        </r>
      </text>
    </comment>
    <comment ref="E38" authorId="0" shapeId="0" xr:uid="{00000000-0006-0000-0400-000057000000}">
      <text>
        <r>
          <rPr>
            <sz val="10"/>
            <rFont val="Arial"/>
            <family val="2"/>
          </rPr>
          <t>Source: FY2019 FS (Killam Q4 12-31-2019 FS FINAL-3.pdf), p.9 (CFS)
Net proceeds on issuance of units $191,729K FY2019
Two bought-deals: March ($86.3M, 5.05M units at $17.10) + November ($114.4M, 5.75M units at $19.90)</t>
        </r>
      </text>
    </comment>
    <comment ref="F38" authorId="0" shapeId="0" xr:uid="{00000000-0006-0000-0400-00006E000000}">
      <text>
        <r>
          <rPr>
            <sz val="10"/>
            <rFont val="Arial"/>
            <family val="2"/>
          </rPr>
          <t>Source: FY2020 FS (Killam Q4 12-31-2020 FS for Release-4.pdf), p.10 (CFS)
Net proceeds on issuance of units $65,782K FY2020</t>
        </r>
      </text>
    </comment>
    <comment ref="G38" authorId="0" shapeId="0" xr:uid="{00000000-0006-0000-0400-000085000000}">
      <text>
        <r>
          <rPr>
            <sz val="10"/>
            <rFont val="Arial"/>
            <family val="2"/>
          </rPr>
          <t>Source: FY2021 FS (KillamQ42021FS-3.pdf), p.4 (CFS)
Net proceeds on issuance of units $104,361K FY2021
Ref: FY2021 MDA (KillamQ42021 MDA-3.pdf) — equity offering $98.1M (4,715K units) Feb 2022</t>
        </r>
      </text>
    </comment>
    <comment ref="H38" authorId="0" shapeId="0" xr:uid="{00000000-0006-0000-0400-00009C000000}">
      <text>
        <r>
          <rPr>
            <sz val="10"/>
            <rFont val="Arial"/>
            <family val="2"/>
          </rPr>
          <t>Source: FY2022 FS (KMP.UN - FS Q4 12-31-2022-2.pdf), p.10 (CFS)
Net proceeds on issuance of units $93,471K FY2022
Ref: FY2022 MDA (KMP.UN - MDA Q4 12-31-2022-2.pdf) — equity offering $98.1M (4,715K units at $20.80) Feb 2022</t>
        </r>
      </text>
    </comment>
    <comment ref="I38" authorId="0" shapeId="0" xr:uid="{00000000-0006-0000-0400-0000B5000000}">
      <text>
        <r>
          <rPr>
            <sz val="10"/>
            <rFont val="Arial"/>
            <family val="2"/>
          </rPr>
          <t>Source: FY2023 FS (Killam Q4 12-31-2023 FS-2.pdf) (CFS)
Net proceeds from unit issuance: $0 FY2023 — no equity raises</t>
        </r>
      </text>
    </comment>
    <comment ref="J38" authorId="0" shapeId="0" xr:uid="{00000000-0006-0000-0400-0000CE000000}">
      <text>
        <r>
          <rPr>
            <sz val="10"/>
            <rFont val="Arial"/>
            <family val="2"/>
          </rPr>
          <t>Source: FY2024 FS (Killam Q4 12-31-2024 FS - Final-4.pdf), p.4 (CFS)
Net proceeds from unit issuance: $0 FY2024 — no equity raises</t>
        </r>
      </text>
    </comment>
    <comment ref="K38" authorId="0" shapeId="0" xr:uid="{00000000-0006-0000-0400-0000E7000000}">
      <text>
        <r>
          <rPr>
            <sz val="10"/>
            <rFont val="Arial"/>
            <family val="2"/>
          </rPr>
          <t>Source: FY2025 FS (Killam Q4 12-31-2025 FS-3.pdf), p.11 (CFS)
Net proceeds from unit issuance: $0 FY2025 — no equity raises</t>
        </r>
      </text>
    </comment>
    <comment ref="B39" authorId="0" shapeId="0" xr:uid="{00000000-0006-0000-0400-000013000000}">
      <text>
        <r>
          <rPr>
            <sz val="10"/>
            <rFont val="Arial"/>
            <family val="2"/>
          </rPr>
          <t>Source: FY2016 FS (Killam Q4 12-31-2016-FS)
Unit repurchases: $0 — no NCIB in FY2016</t>
        </r>
      </text>
    </comment>
    <comment ref="C39" authorId="0" shapeId="0" xr:uid="{00000000-0006-0000-0400-00002A000000}">
      <text>
        <r>
          <rPr>
            <sz val="10"/>
            <rFont val="Arial"/>
            <family val="2"/>
          </rPr>
          <t>Source: FY2017 AR (Killam.AR_.17-3.pdf)
Unit repurchases: $0 — no NCIB in FY2017</t>
        </r>
      </text>
    </comment>
    <comment ref="D39" authorId="0" shapeId="0" xr:uid="{00000000-0006-0000-0400-000041000000}">
      <text>
        <r>
          <rPr>
            <sz val="10"/>
            <rFont val="Arial"/>
            <family val="2"/>
          </rPr>
          <t>Source: FY2018 FS (Killam Q4 12-31-2018-FS Final-3.pdf)
Unit repurchases: $0 — no NCIB in FY2018</t>
        </r>
      </text>
    </comment>
    <comment ref="E39" authorId="0" shapeId="0" xr:uid="{00000000-0006-0000-0400-000058000000}">
      <text>
        <r>
          <rPr>
            <sz val="10"/>
            <rFont val="Arial"/>
            <family val="2"/>
          </rPr>
          <t>Source: FY2019 FS (Killam Q4 12-31-2019 FS FINAL-3.pdf)
Unit repurchases: $0 — no NCIB in FY2019</t>
        </r>
      </text>
    </comment>
    <comment ref="F39" authorId="0" shapeId="0" xr:uid="{00000000-0006-0000-0400-00006F000000}">
      <text>
        <r>
          <rPr>
            <sz val="10"/>
            <rFont val="Arial"/>
            <family val="2"/>
          </rPr>
          <t>Source: FY2020 FS (Killam Q4 12-31-2020 FS for Release-4.pdf)
Unit repurchases: $0 — no NCIB in FY2020</t>
        </r>
      </text>
    </comment>
    <comment ref="G39" authorId="0" shapeId="0" xr:uid="{00000000-0006-0000-0400-000086000000}">
      <text>
        <r>
          <rPr>
            <sz val="10"/>
            <rFont val="Arial"/>
            <family val="2"/>
          </rPr>
          <t>Source: FY2021 FS (KillamQ42021FS-3.pdf)
Unit repurchases: $0 — no NCIB in FY2021</t>
        </r>
      </text>
    </comment>
    <comment ref="H39" authorId="0" shapeId="0" xr:uid="{00000000-0006-0000-0400-00009D000000}">
      <text>
        <r>
          <rPr>
            <sz val="10"/>
            <rFont val="Arial"/>
            <family val="2"/>
          </rPr>
          <t>Source: FY2022 FS (KMP.UN - FS Q4 12-31-2022-2.pdf)
Unit repurchases: $0 — no NCIB in FY2022</t>
        </r>
      </text>
    </comment>
    <comment ref="I39" authorId="0" shapeId="0" xr:uid="{00000000-0006-0000-0400-0000B6000000}">
      <text>
        <r>
          <rPr>
            <sz val="10"/>
            <rFont val="Arial"/>
            <family val="2"/>
          </rPr>
          <t>Source: FY2023 FS (Killam Q4 12-31-2023 FS-2.pdf)
Unit repurchases: $0 — NCIB not yet active</t>
        </r>
      </text>
    </comment>
    <comment ref="J39" authorId="0" shapeId="0" xr:uid="{00000000-0006-0000-0400-0000CF000000}">
      <text>
        <r>
          <rPr>
            <sz val="10"/>
            <rFont val="Arial"/>
            <family val="2"/>
          </rPr>
          <t>Source: FY2024 FS (Killam Q4 12-31-2024 FS - Final-4.pdf) / FY2024 MDA (Killam Q4 12-31-2024 MDA - Final-4.pdf), p.46
Unit repurchases $(276)K FY2024
NCIB: 23,620 units at WA $16.94/unit — minimal activity</t>
        </r>
      </text>
    </comment>
    <comment ref="K39" authorId="0" shapeId="0" xr:uid="{00000000-0006-0000-0400-0000E8000000}">
      <text>
        <r>
          <rPr>
            <sz val="10"/>
            <rFont val="Arial"/>
            <family val="2"/>
          </rPr>
          <t>Source: FY2025 FS (Killam Q4 12-31-2025 FS-3.pdf), p.11 (CFS)
Unit repurchases $(2,484)K FY2025 — NCIB active</t>
        </r>
      </text>
    </comment>
    <comment ref="B40" authorId="0" shapeId="0" xr:uid="{00000000-0006-0000-0400-000014000000}">
      <text>
        <r>
          <rPr>
            <sz val="10"/>
            <rFont val="Arial"/>
            <family val="2"/>
          </rPr>
          <t>Source: FY2016 FS (Killam Q4 12-31-2016-FS), p.7
Net credit facility activity: $0 FY2016</t>
        </r>
      </text>
    </comment>
    <comment ref="C40" authorId="0" shapeId="0" xr:uid="{00000000-0006-0000-0400-00002B000000}">
      <text>
        <r>
          <rPr>
            <sz val="10"/>
            <rFont val="Arial"/>
            <family val="2"/>
          </rPr>
          <t>Source: FY2017 AR (Killam.AR_.17-3.pdf), p.79 (CFS)
Net credit facility draws: $0 FY2017</t>
        </r>
      </text>
    </comment>
    <comment ref="D40" authorId="0" shapeId="0" xr:uid="{00000000-0006-0000-0400-000042000000}">
      <text>
        <r>
          <rPr>
            <sz val="10"/>
            <rFont val="Arial"/>
            <family val="2"/>
          </rPr>
          <t>Source: FY2018 FS (Killam Q4 12-31-2018-FS Final-3.pdf), p.9 (CFS)
Credit facility draws $53,350K FY2018</t>
        </r>
      </text>
    </comment>
    <comment ref="E40" authorId="0" shapeId="0" xr:uid="{00000000-0006-0000-0400-000059000000}">
      <text>
        <r>
          <rPr>
            <sz val="10"/>
            <rFont val="Arial"/>
            <family val="2"/>
          </rPr>
          <t>Source: FY2019 FS (Killam Q4 12-31-2019 FS FINAL-3.pdf), p.9 (CFS)
Credit facility repayment $(53,350)K FY2019 — fully repaid from mortgage refinancing proceeds</t>
        </r>
      </text>
    </comment>
    <comment ref="F40" authorId="0" shapeId="0" xr:uid="{00000000-0006-0000-0400-000070000000}">
      <text>
        <r>
          <rPr>
            <sz val="10"/>
            <rFont val="Arial"/>
            <family val="2"/>
          </rPr>
          <t>Source: FY2020 FS (Killam Q4 12-31-2020 FS for Release-4.pdf), p.10 (CFS)
Credit facility proceeds $7,029K FY2020</t>
        </r>
      </text>
    </comment>
    <comment ref="G40" authorId="0" shapeId="0" xr:uid="{00000000-0006-0000-0400-000087000000}">
      <text>
        <r>
          <rPr>
            <sz val="10"/>
            <rFont val="Arial"/>
            <family val="2"/>
          </rPr>
          <t>Source: FY2021 FS (KillamQ42021FS-3.pdf), p.4 (CFS)
Credit facility proceeds $54,701K FY2021</t>
        </r>
      </text>
    </comment>
    <comment ref="H40" authorId="0" shapeId="0" xr:uid="{00000000-0006-0000-0400-00009E000000}">
      <text>
        <r>
          <rPr>
            <sz val="10"/>
            <rFont val="Arial"/>
            <family val="2"/>
          </rPr>
          <t>Source: FY2022 FS (KMP.UN - FS Q4 12-31-2022-2.pdf), p.10 (CFS)
Credit facility proceeds $59,284K FY2022</t>
        </r>
      </text>
    </comment>
    <comment ref="I40" authorId="0" shapeId="0" xr:uid="{00000000-0006-0000-0400-0000B7000000}">
      <text>
        <r>
          <rPr>
            <sz val="10"/>
            <rFont val="Arial"/>
            <family val="2"/>
          </rPr>
          <t>Source: FY2023 FS (Killam Q4 12-31-2023 FS-2.pdf) (CFS)
Credit facility repayments $(80,137)K FY2023</t>
        </r>
      </text>
    </comment>
    <comment ref="J40" authorId="0" shapeId="0" xr:uid="{00000000-0006-0000-0400-0000D0000000}">
      <text>
        <r>
          <rPr>
            <sz val="10"/>
            <rFont val="Arial"/>
            <family val="2"/>
          </rPr>
          <t>Source: FY2024 FS (Killam Q4 12-31-2024 FS - Final-4.pdf), p.4 (CFS)
Credit facility activity $13,861K net FY2024</t>
        </r>
      </text>
    </comment>
    <comment ref="K40" authorId="0" shapeId="0" xr:uid="{00000000-0006-0000-0400-0000E9000000}">
      <text>
        <r>
          <rPr>
            <sz val="10"/>
            <rFont val="Arial"/>
            <family val="2"/>
          </rPr>
          <t>Source: FY2025 FS (Killam Q4 12-31-2025 FS-3.pdf), p.11 (CFS)
Credit facility net proceeds $20,016K FY2025</t>
        </r>
      </text>
    </comment>
    <comment ref="B41" authorId="0" shapeId="0" xr:uid="{00000000-0006-0000-0400-000015000000}">
      <text>
        <r>
          <rPr>
            <sz val="10"/>
            <rFont val="Arial"/>
            <family val="2"/>
          </rPr>
          <t>Source: FY2016 FS (Killam Q4 12-31-2016-FS), p.7
Construction loan activity: $0 separately disclosed — combined in other items</t>
        </r>
      </text>
    </comment>
    <comment ref="C41" authorId="0" shapeId="0" xr:uid="{00000000-0006-0000-0400-00002C000000}">
      <text>
        <r>
          <rPr>
            <sz val="10"/>
            <rFont val="Arial"/>
            <family val="2"/>
          </rPr>
          <t>Source: FY2017 AR (Killam.AR_.17-3.pdf), p.79 (CFS)
Construction loan activity: $0 separately — combined in other items</t>
        </r>
      </text>
    </comment>
    <comment ref="D41" authorId="0" shapeId="0" xr:uid="{00000000-0006-0000-0400-000043000000}">
      <text>
        <r>
          <rPr>
            <sz val="10"/>
            <rFont val="Arial"/>
            <family val="2"/>
          </rPr>
          <t>Source: FY2018 FS (Killam Q4 12-31-2018-FS Final-3.pdf), p.9 (CFS)
Construction loan proceeds $19,455K FY2018</t>
        </r>
      </text>
    </comment>
    <comment ref="E41" authorId="0" shapeId="0" xr:uid="{00000000-0006-0000-0400-00005A000000}">
      <text>
        <r>
          <rPr>
            <sz val="10"/>
            <rFont val="Arial"/>
            <family val="2"/>
          </rPr>
          <t>Source: FY2019 FS (Killam Q4 12-31-2019 FS FINAL-3.pdf), p.9 (CFS)
Construction loan net: proceeds $28,726 - repayments $(64,377) = $(35,651)K FY2019</t>
        </r>
      </text>
    </comment>
    <comment ref="F41" authorId="0" shapeId="0" xr:uid="{00000000-0006-0000-0400-000071000000}">
      <text>
        <r>
          <rPr>
            <sz val="10"/>
            <rFont val="Arial"/>
            <family val="2"/>
          </rPr>
          <t>Source: FY2020 FS (Killam Q4 12-31-2020 FS for Release-4.pdf), p.10 (CFS)
Construction loan net: proceeds $39,613 - repayments $(23,119) = $16,494K FY2020</t>
        </r>
      </text>
    </comment>
    <comment ref="G41" authorId="0" shapeId="0" xr:uid="{00000000-0006-0000-0400-000088000000}">
      <text>
        <r>
          <rPr>
            <sz val="10"/>
            <rFont val="Arial"/>
            <family val="2"/>
          </rPr>
          <t>Source: FY2021 FS (KillamQ42021FS-3.pdf), p.4 (CFS)
Construction loan net: proceeds $54,140 - repayments $(17,889) = $36,251K FY2021</t>
        </r>
      </text>
    </comment>
    <comment ref="H41" authorId="0" shapeId="0" xr:uid="{00000000-0006-0000-0400-00009F000000}">
      <text>
        <r>
          <rPr>
            <sz val="10"/>
            <rFont val="Arial"/>
            <family val="2"/>
          </rPr>
          <t>Source: FY2022 FS (KMP.UN - FS Q4 12-31-2022-2.pdf), p.10 (CFS)
Construction loan net: proceeds $96,058 - repayments $(78,682) = $17,376K FY2022</t>
        </r>
      </text>
    </comment>
    <comment ref="I41" authorId="0" shapeId="0" xr:uid="{00000000-0006-0000-0400-0000B8000000}">
      <text>
        <r>
          <rPr>
            <sz val="10"/>
            <rFont val="Arial"/>
            <family val="2"/>
          </rPr>
          <t>Source: FY2023 FS (Killam Q4 12-31-2023 FS-2.pdf) (CFS)
Construction loan activity $(65,297)K net FY2023</t>
        </r>
      </text>
    </comment>
    <comment ref="J41" authorId="0" shapeId="0" xr:uid="{00000000-0006-0000-0400-0000D1000000}">
      <text>
        <r>
          <rPr>
            <sz val="10"/>
            <rFont val="Arial"/>
            <family val="2"/>
          </rPr>
          <t>Source: FY2024 FS (Killam Q4 12-31-2024 FS - Final-4.pdf), p.4 (CFS)
Construction loan activity: net repayment
Balance dropped from $29,675K to $0 at year-end</t>
        </r>
      </text>
    </comment>
    <comment ref="K41" authorId="0" shapeId="0" xr:uid="{00000000-0006-0000-0400-0000EA000000}">
      <text>
        <r>
          <rPr>
            <sz val="10"/>
            <rFont val="Arial"/>
            <family val="2"/>
          </rPr>
          <t>Source: FY2025 FS (Killam Q4 12-31-2025 FS-3.pdf), p.11 (CFS)
Construction loan proceeds $38,865K FY2025 (new development financing)</t>
        </r>
      </text>
    </comment>
    <comment ref="B42" authorId="0" shapeId="0" xr:uid="{00000000-0006-0000-0400-000016000000}">
      <text>
        <r>
          <rPr>
            <sz val="10"/>
            <rFont val="Arial"/>
            <family val="2"/>
          </rPr>
          <t>Source: FY2016 FS (Killam Q4 12-31-2016-FS), p.7
Other financing activity $(74,213)K FY2016
Includes: redemption of convertible deb $(57,500), distributions to NCI $(24,610), other items
Derived as plug to match FS total financing activities $52,783</t>
        </r>
      </text>
    </comment>
    <comment ref="C42" authorId="0" shapeId="0" xr:uid="{00000000-0006-0000-0400-00002D000000}">
      <text>
        <r>
          <rPr>
            <sz val="10"/>
            <rFont val="Arial"/>
            <family val="2"/>
          </rPr>
          <t>Source: FY2017 AR (Killam.AR_.17-3.pdf), p.79 (CFS)
Other financing $(58,570)K FY2017
Includes: convertible deb redemption $(46,000), distributions to NCI, other items</t>
        </r>
      </text>
    </comment>
    <comment ref="D42" authorId="0" shapeId="0" xr:uid="{00000000-0006-0000-0400-000044000000}">
      <text>
        <r>
          <rPr>
            <sz val="10"/>
            <rFont val="Arial"/>
            <family val="2"/>
          </rPr>
          <t>Source: FY2018 FS (Killam Q4 12-31-2018-FS Final-3.pdf), p.9 (CFS)
Other financing $(80,530)K — derived as residual
Includes financing costs, NCI distributions, other items</t>
        </r>
      </text>
    </comment>
    <comment ref="E42" authorId="0" shapeId="0" xr:uid="{00000000-0006-0000-0400-00005B000000}">
      <text>
        <r>
          <rPr>
            <sz val="10"/>
            <rFont val="Arial"/>
            <family val="2"/>
          </rPr>
          <t>Source: FY2019 FS (Killam Q4 12-31-2019 FS FINAL-3.pdf), p.9 (CFS)
Other financing $(6,722)K — includes deferred financing costs $(5,384), cash on RTU vesting $(1,424), lease payments $(133), NCI distributions $(12), other</t>
        </r>
      </text>
    </comment>
    <comment ref="F42" authorId="0" shapeId="0" xr:uid="{00000000-0006-0000-0400-000072000000}">
      <text>
        <r>
          <rPr>
            <sz val="10"/>
            <rFont val="Arial"/>
            <family val="2"/>
          </rPr>
          <t>Source: FY2020 FS (Killam Q4 12-31-2020 FS for Release-4.pdf), p.10 (CFS)
Other financing $(10,177)K — includes deferred financing $(7,647), RTU vesting $(1,672), lease payments, NCI distributions</t>
        </r>
      </text>
    </comment>
    <comment ref="G42" authorId="0" shapeId="0" xr:uid="{00000000-0006-0000-0400-000089000000}">
      <text>
        <r>
          <rPr>
            <sz val="10"/>
            <rFont val="Arial"/>
            <family val="2"/>
          </rPr>
          <t>Source: FY2021 FS (KillamQ42021FS-3.pdf), p.4 (CFS)
Other financing $(6,006)K — includes deferred financing $(4,122), RTU vesting $(1,548), lease $(318), NCI, other</t>
        </r>
      </text>
    </comment>
    <comment ref="H42" authorId="0" shapeId="0" xr:uid="{00000000-0006-0000-0400-0000A0000000}">
      <text>
        <r>
          <rPr>
            <sz val="10"/>
            <rFont val="Arial"/>
            <family val="2"/>
          </rPr>
          <t>Source: FY2022 FS (KMP.UN - FS Q4 12-31-2022-2.pdf), p.10 (CFS)
Other financing $(7,108)K — includes deferred financing $(5,934), RTU vesting $(1,269), NCI, other</t>
        </r>
      </text>
    </comment>
    <comment ref="I42" authorId="0" shapeId="0" xr:uid="{00000000-0006-0000-0400-0000B9000000}">
      <text>
        <r>
          <rPr>
            <sz val="10"/>
            <rFont val="Arial"/>
            <family val="2"/>
          </rPr>
          <t>Source: FY2023 FS (Killam Q4 12-31-2023 FS-2.pdf) (CFS)
Other financing $(8,591)K</t>
        </r>
      </text>
    </comment>
    <comment ref="J42" authorId="0" shapeId="0" xr:uid="{00000000-0006-0000-0400-0000D2000000}">
      <text>
        <r>
          <rPr>
            <sz val="10"/>
            <rFont val="Arial"/>
            <family val="2"/>
          </rPr>
          <t>Source: FY2024 FS (Killam Q4 12-31-2024 FS - Final-4.pdf), p.4 (CFS)
Other financing $(11,252)K — includes deferred financing, RTU vesting, lease payments, other</t>
        </r>
      </text>
    </comment>
    <comment ref="K42" authorId="0" shapeId="0" xr:uid="{00000000-0006-0000-0400-0000EB000000}">
      <text>
        <r>
          <rPr>
            <sz val="10"/>
            <rFont val="Arial"/>
            <family val="2"/>
          </rPr>
          <t>Source: FY2025 FS (Killam Q4 12-31-2025 FS-3.pdf), p.11 (CFS)
Other financing $(14,792)K — includes deferred financing $(9,664), RTU vesting $(1,004), lease $(1,124), other</t>
        </r>
      </text>
    </comment>
    <comment ref="B63" authorId="0" shapeId="0" xr:uid="{00000000-0006-0000-0400-000017000000}">
      <text>
        <r>
          <rPr>
            <sz val="10"/>
            <rFont val="Arial"/>
            <family val="2"/>
          </rPr>
          <t>Source: FY2016 MD&amp;A (Killam Q4 12-31-2016-MDA), p.28
Total distributions declared $41,101K FY2016
= Trust units $38,328 + exchangeable units $2,659 + RTU $114
Not in FS as single figure — FS only shows cash distributions paid</t>
        </r>
      </text>
    </comment>
    <comment ref="C63" authorId="0" shapeId="0" xr:uid="{00000000-0006-0000-0400-00002E000000}">
      <text>
        <r>
          <rPr>
            <sz val="10"/>
            <rFont val="Arial"/>
            <family val="2"/>
          </rPr>
          <t>Source: FY2017 AR (Killam.AR_.17-3.pdf), p.61 (MDA section)
Total distributions declared $48,832K FY2017
Cash paid $37,515K; DRIP $11,084K; participation 23.2%</t>
        </r>
      </text>
    </comment>
    <comment ref="D63" authorId="0" shapeId="0" xr:uid="{00000000-0006-0000-0400-000045000000}">
      <text>
        <r>
          <rPr>
            <sz val="10"/>
            <rFont val="Arial"/>
            <family val="2"/>
          </rPr>
          <t>Source: FY2018 MDA (Killam Q4 12-31-2018-MDA - FINAL-3.pdf), p.39
Total distributions declared $56,321K FY2018
Cash paid $41,580K; DRIP reinvested remainder</t>
        </r>
      </text>
    </comment>
    <comment ref="E63" authorId="0" shapeId="0" xr:uid="{00000000-0006-0000-0400-00005C000000}">
      <text>
        <r>
          <rPr>
            <sz val="10"/>
            <rFont val="Arial"/>
            <family val="2"/>
          </rPr>
          <t>Source: FY2019 MDA (Killam Q4 12-31-2019 MDA FINAL-3.pdf), p.43
Total distributions declared $63,805K FY2019
Cash $45,041K; DRIP $18,533K; participation 29.0%</t>
        </r>
      </text>
    </comment>
    <comment ref="F63" authorId="0" shapeId="0" xr:uid="{00000000-0006-0000-0400-000073000000}">
      <text>
        <r>
          <rPr>
            <sz val="10"/>
            <rFont val="Arial"/>
            <family val="2"/>
          </rPr>
          <t>Source: FY2020 MDA (Killam Q4 12-31-2020 MDA for Release-4.pdf), p.34 &amp; p.46
Total distributions declared $71,731K FY2020
Cash paid $49,633K; DRIP reinvested ~$22,098K</t>
        </r>
      </text>
    </comment>
    <comment ref="G63" authorId="0" shapeId="0" xr:uid="{00000000-0006-0000-0400-00008A000000}">
      <text>
        <r>
          <rPr>
            <sz val="10"/>
            <rFont val="Arial"/>
            <family val="2"/>
          </rPr>
          <t>Source: FY2021 MDA (KillamQ42021 MDA-3.pdf), p.44
Total distributions declared $77,925K FY2021
DRIP $25,657K; cash paid $51,455K</t>
        </r>
      </text>
    </comment>
    <comment ref="H63" authorId="0" shapeId="0" xr:uid="{00000000-0006-0000-0400-0000A1000000}">
      <text>
        <r>
          <rPr>
            <sz val="10"/>
            <rFont val="Arial"/>
            <family val="2"/>
          </rPr>
          <t>Source: FY2022 MDA (KMP.UN - MDA Q4 12-31-2022-2.pdf), p.33
Total distributions declared $84,722K FY2022</t>
        </r>
      </text>
    </comment>
    <comment ref="I63" authorId="0" shapeId="0" xr:uid="{00000000-0006-0000-0400-0000BA000000}">
      <text>
        <r>
          <rPr>
            <sz val="10"/>
            <rFont val="Arial"/>
            <family val="2"/>
          </rPr>
          <t>Source: FY2023 MDA (Killam Q4 12-31-2023 MDA-2.pdf), p.34
Total distributions declared $86,114K FY2023</t>
        </r>
      </text>
    </comment>
    <comment ref="J63" authorId="0" shapeId="0" xr:uid="{00000000-0006-0000-0400-0000D3000000}">
      <text>
        <r>
          <rPr>
            <sz val="10"/>
            <rFont val="Arial"/>
            <family val="2"/>
          </rPr>
          <t>Source: FY2024 MDA (Killam Q4 12-31-2024 MDA - Final-4.pdf), p.33
Total distributions declared $87,510K FY2024
DRIP $23,469K; cash paid $60,487K; participation 27.2%</t>
        </r>
      </text>
    </comment>
    <comment ref="K63" authorId="0" shapeId="0" xr:uid="{00000000-0006-0000-0400-0000EC000000}">
      <text>
        <r>
          <rPr>
            <sz val="10"/>
            <rFont val="Arial"/>
            <family val="2"/>
          </rPr>
          <t>Source: FY2025 MDA (Killam Q4 12-31-2025 MDA-2.pdf), p.33
Total distributions declared $90,676K FY2025
DRIP $24.4M; cash paid $63,106K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500-000001000000}">
      <text>
        <r>
          <rPr>
            <sz val="10"/>
            <rFont val="Arial"/>
            <family val="2"/>
          </rPr>
          <t>Source: FY2016 FS (Killam Q4 12-31-2016-FS), p.4
Investment properties $1,942,809K (Dec 31, 2016)
= IP $1,887,302 + IPUC $55,507 (per FS p.16 note)</t>
        </r>
      </text>
    </comment>
    <comment ref="C8" authorId="0" shapeId="0" xr:uid="{00000000-0006-0000-0500-000013000000}">
      <text>
        <r>
          <rPr>
            <sz val="10"/>
            <rFont val="Arial"/>
            <family val="2"/>
          </rPr>
          <t>Source: FY2017 AR (Killam.AR_.17-3.pdf), p.76 (BS)
Investment properties $2,279,763K (Dec 31, 2017)
= IP $2,172,222K + IPUC $107,541K (p.52)</t>
        </r>
      </text>
    </comment>
    <comment ref="D8" authorId="0" shapeId="0" xr:uid="{00000000-0006-0000-0500-000025000000}">
      <text>
        <r>
          <rPr>
            <sz val="10"/>
            <rFont val="Arial"/>
            <family val="2"/>
          </rPr>
          <t>Source: FY2018 FS (Killam Q4 12-31-2018-FS Final-3.pdf), p.6 (BS)
Investment properties $2,799,693K (Dec 31, 2018)
= IP $2,701,502K + IPUC $37,163K + land $61,028K (p.29 MDA)</t>
        </r>
      </text>
    </comment>
    <comment ref="E8" authorId="0" shapeId="0" xr:uid="{00000000-0006-0000-0500-000037000000}">
      <text>
        <r>
          <rPr>
            <sz val="10"/>
            <rFont val="Arial"/>
            <family val="2"/>
          </rPr>
          <t>Source: FY2019 FS (Killam Q4 12-31-2019 FS FINAL-3.pdf), p.6 (BS)
Investment properties $3,320,604K (Dec 31, 2019)</t>
        </r>
      </text>
    </comment>
    <comment ref="F8" authorId="0" shapeId="0" xr:uid="{00000000-0006-0000-0500-000049000000}">
      <text>
        <r>
          <rPr>
            <sz val="10"/>
            <rFont val="Arial"/>
            <family val="2"/>
          </rPr>
          <t>Source: FY2020 FS (Killam Q4 12-31-2020 FS for Release-4.pdf), p.7 (BS)
Investment properties $3,741,918K (Dec 31, 2020)
Includes IPUC $128,100K + land for development $43,620K (p.16)</t>
        </r>
      </text>
    </comment>
    <comment ref="G8" authorId="0" shapeId="0" xr:uid="{00000000-0006-0000-0500-00005B000000}">
      <text>
        <r>
          <rPr>
            <sz val="10"/>
            <rFont val="Arial"/>
            <family val="2"/>
          </rPr>
          <t>Source: FY2021 FS (KillamQ42021FS-3.pdf), p.1 (BS)
Investment properties $4,540,877K (Dec 31, 2021)
= Apt $3,897,354 + MHC $231,370 + Comm $155,306 + IPUC $201,319 + Land $55,528 (p.15)</t>
        </r>
      </text>
    </comment>
    <comment ref="H8" authorId="0" shapeId="0" xr:uid="{00000000-0006-0000-0500-00006D000000}">
      <text>
        <r>
          <rPr>
            <sz val="10"/>
            <rFont val="Arial"/>
            <family val="2"/>
          </rPr>
          <t>Source: FY2022 FS (KMP.UN - FS Q4 12-31-2022-2.pdf), p.7 (BS)
Investment properties $4,812,801K (Dec 31, 2022)
= Apt $4,250,263 + MHC $223,619 + Comm $163,910 + IPUC $135,196 + Land $39,813 (p.15)</t>
        </r>
      </text>
    </comment>
    <comment ref="I8" authorId="0" shapeId="0" xr:uid="{00000000-0006-0000-0500-00007F000000}">
      <text>
        <r>
          <rPr>
            <sz val="10"/>
            <rFont val="Arial"/>
            <family val="2"/>
          </rPr>
          <t>Source: FY2023 MDA (Killam Q4 12-31-2023 MDA-2.pdf), p.39 (IP rollforward)
Investment properties $5,027,806K (Dec 31, 2023)
Ref: FY2023 FS (Killam Q4 12-31-2023 FS-2.pdf) p.42 shows $3,816,400K which appears to be a condensed/rounded figure
MDA figure is precise and ties to model</t>
        </r>
      </text>
    </comment>
    <comment ref="J8" authorId="0" shapeId="0" xr:uid="{00000000-0006-0000-0500-000091000000}">
      <text>
        <r>
          <rPr>
            <sz val="10"/>
            <rFont val="Arial"/>
            <family val="2"/>
          </rPr>
          <t>Source: FY2024 FS (Killam Q4 12-31-2024 FS - Final-4.pdf), p.1 (BS)
Investment properties $5,384,720K (Dec 31, 2024)
Includes IPUC $91,114K (p.15)</t>
        </r>
      </text>
    </comment>
    <comment ref="K8" authorId="0" shapeId="0" xr:uid="{00000000-0006-0000-0500-0000A3000000}">
      <text>
        <r>
          <rPr>
            <sz val="10"/>
            <rFont val="Arial"/>
            <family val="2"/>
          </rPr>
          <t>Source: FY2025 FS (Killam Q4 12-31-2025 FS-3.pdf), p.8 (BS)
Investment properties $5,449,016K (Dec 31, 2025)
Includes IPUC $67,882K (p.15)</t>
        </r>
      </text>
    </comment>
    <comment ref="B9" authorId="0" shapeId="0" xr:uid="{00000000-0006-0000-0500-000002000000}">
      <text>
        <r>
          <rPr>
            <sz val="10"/>
            <rFont val="Arial"/>
            <family val="2"/>
          </rPr>
          <t>Source: FY2016 FS (Killam Q4 12-31-2016-FS), p.4
Other non-current assets $5,737K
= Property &amp; equipment $4,787 + other non-current $950</t>
        </r>
      </text>
    </comment>
    <comment ref="C9" authorId="0" shapeId="0" xr:uid="{00000000-0006-0000-0500-000014000000}">
      <text>
        <r>
          <rPr>
            <sz val="10"/>
            <rFont val="Arial"/>
            <family val="2"/>
          </rPr>
          <t>Source: FY2017 AR (Killam.AR_.17-3.pdf), p.76 (BS)
Other non-current assets $5,851K = Property &amp; equipment $5,192 + other $659</t>
        </r>
      </text>
    </comment>
    <comment ref="D9" authorId="0" shapeId="0" xr:uid="{00000000-0006-0000-0500-000026000000}">
      <text>
        <r>
          <rPr>
            <sz val="10"/>
            <rFont val="Arial"/>
            <family val="2"/>
          </rPr>
          <t>Source: FY2018 FS (Killam Q4 12-31-2018-FS Final-3.pdf), p.6 (BS)
Other non-current assets = property &amp; equip + other non-current $530</t>
        </r>
      </text>
    </comment>
    <comment ref="E9" authorId="0" shapeId="0" xr:uid="{00000000-0006-0000-0500-000038000000}">
      <text>
        <r>
          <rPr>
            <sz val="10"/>
            <rFont val="Arial"/>
            <family val="2"/>
          </rPr>
          <t>Source: FY2019 FS (Killam Q4 12-31-2019 FS FINAL-3.pdf), p.6 (BS)
Other non-current assets $7,408K = Property &amp; equip $7,113 + other $295</t>
        </r>
      </text>
    </comment>
    <comment ref="F9" authorId="0" shapeId="0" xr:uid="{00000000-0006-0000-0500-00004A000000}">
      <text>
        <r>
          <rPr>
            <sz val="10"/>
            <rFont val="Arial"/>
            <family val="2"/>
          </rPr>
          <t>Source: FY2020 FS (Killam Q4 12-31-2020 FS for Release-4.pdf), p.7 (BS)
Other non-current assets $8,349K = property &amp; equip</t>
        </r>
      </text>
    </comment>
    <comment ref="G9" authorId="0" shapeId="0" xr:uid="{00000000-0006-0000-0500-00005C000000}">
      <text>
        <r>
          <rPr>
            <sz val="10"/>
            <rFont val="Arial"/>
            <family val="2"/>
          </rPr>
          <t>Source: FY2021 FS (KillamQ42021FS-3.pdf), p.1 (BS)
Other non-current assets: property &amp; equip $7,931 + other $4,375 = $12,306K</t>
        </r>
      </text>
    </comment>
    <comment ref="H9" authorId="0" shapeId="0" xr:uid="{00000000-0006-0000-0500-00006E000000}">
      <text>
        <r>
          <rPr>
            <sz val="10"/>
            <rFont val="Arial"/>
            <family val="2"/>
          </rPr>
          <t>Source: FY2022 FS (KMP.UN - FS Q4 12-31-2022-2.pdf), p.7 (BS)
Other non-current assets: P&amp;E $7,879 + other $4,318 = $12,197K</t>
        </r>
      </text>
    </comment>
    <comment ref="I9" authorId="0" shapeId="0" xr:uid="{00000000-0006-0000-0500-000080000000}">
      <text>
        <r>
          <rPr>
            <sz val="10"/>
            <rFont val="Arial"/>
            <family val="2"/>
          </rPr>
          <t>Source: FY2023 FS (Killam Q4 12-31-2023 FS-2.pdf) / FY2023 MDA (Killam Q4 12-31-2023 MDA-2.pdf)
Other non-current assets $14,329K</t>
        </r>
      </text>
    </comment>
    <comment ref="J9" authorId="0" shapeId="0" xr:uid="{00000000-0006-0000-0500-000092000000}">
      <text>
        <r>
          <rPr>
            <sz val="10"/>
            <rFont val="Arial"/>
            <family val="2"/>
          </rPr>
          <t>Source: FY2024 FS (Killam Q4 12-31-2024 FS - Final-4.pdf), p.1 (BS)
Other non-current assets: P&amp;E $9,647 + other $14,608 = $24,255K</t>
        </r>
      </text>
    </comment>
    <comment ref="K9" authorId="0" shapeId="0" xr:uid="{00000000-0006-0000-0500-0000A4000000}">
      <text>
        <r>
          <rPr>
            <sz val="10"/>
            <rFont val="Arial"/>
            <family val="2"/>
          </rPr>
          <t>Source: FY2025 FS (Killam Q4 12-31-2025 FS-3.pdf), p.8 (BS)
Other non-current assets: P&amp;E $8,915 + other $9,342 = $18,257K</t>
        </r>
      </text>
    </comment>
    <comment ref="B12" authorId="0" shapeId="0" xr:uid="{00000000-0006-0000-0500-000003000000}">
      <text>
        <r>
          <rPr>
            <sz val="10"/>
            <rFont val="Arial"/>
            <family val="2"/>
          </rPr>
          <t>Source: FY2016 FS (Killam Q4 12-31-2016-FS), p.4
Other current assets $14,435K
= Receivables $2,895 + other current $11,540</t>
        </r>
      </text>
    </comment>
    <comment ref="C12" authorId="0" shapeId="0" xr:uid="{00000000-0006-0000-0500-000015000000}">
      <text>
        <r>
          <rPr>
            <sz val="10"/>
            <rFont val="Arial"/>
            <family val="2"/>
          </rPr>
          <t>Source: FY2017 AR (Killam.AR_.17-3.pdf), p.76 (BS)
Other current assets $13,596K = Receivables $2,355 + other current $11,241</t>
        </r>
      </text>
    </comment>
    <comment ref="D12" authorId="0" shapeId="0" xr:uid="{00000000-0006-0000-0500-000027000000}">
      <text>
        <r>
          <rPr>
            <sz val="10"/>
            <rFont val="Arial"/>
            <family val="2"/>
          </rPr>
          <t>Source: FY2018 FS (Killam Q4 12-31-2018-FS Final-3.pdf), p.6 (BS)
Other current assets = receivables $3,025 + other current $11,710</t>
        </r>
      </text>
    </comment>
    <comment ref="E12" authorId="0" shapeId="0" xr:uid="{00000000-0006-0000-0500-000039000000}">
      <text>
        <r>
          <rPr>
            <sz val="10"/>
            <rFont val="Arial"/>
            <family val="2"/>
          </rPr>
          <t>Source: FY2019 FS (Killam Q4 12-31-2019 FS FINAL-3.pdf), p.6 (BS)
Other current assets $25,124K = Receivables $9,025 + other current $16,099</t>
        </r>
      </text>
    </comment>
    <comment ref="F12" authorId="0" shapeId="0" xr:uid="{00000000-0006-0000-0500-00004B000000}">
      <text>
        <r>
          <rPr>
            <sz val="10"/>
            <rFont val="Arial"/>
            <family val="2"/>
          </rPr>
          <t>Source: FY2020 FS (Killam Q4 12-31-2020 FS for Release-4.pdf), p.7 (BS)
Other current assets $23,737K = receivables $6,561 + other $17,176</t>
        </r>
      </text>
    </comment>
    <comment ref="G12" authorId="0" shapeId="0" xr:uid="{00000000-0006-0000-0500-00005D000000}">
      <text>
        <r>
          <rPr>
            <sz val="10"/>
            <rFont val="Arial"/>
            <family val="2"/>
          </rPr>
          <t>Source: FY2021 FS (KillamQ42021FS-3.pdf), p.1 (BS)
Other current assets: receivables $7,768 + other $17,121 = $24,889K</t>
        </r>
      </text>
    </comment>
    <comment ref="H12" authorId="0" shapeId="0" xr:uid="{00000000-0006-0000-0500-00006F000000}">
      <text>
        <r>
          <rPr>
            <sz val="10"/>
            <rFont val="Arial"/>
            <family val="2"/>
          </rPr>
          <t>Source: FY2022 FS (KMP.UN - FS Q4 12-31-2022-2.pdf), p.7 (BS)
Other current assets: receivables $9,580 + inventory $4,597 + other $11,205 = $25,382K</t>
        </r>
      </text>
    </comment>
    <comment ref="I12" authorId="0" shapeId="0" xr:uid="{00000000-0006-0000-0500-000081000000}">
      <text>
        <r>
          <rPr>
            <sz val="10"/>
            <rFont val="Arial"/>
            <family val="2"/>
          </rPr>
          <t>Source: FY2023 FS (Killam Q4 12-31-2023 FS-2.pdf) / FY2023 MDA (Killam Q4 12-31-2023 MDA-2.pdf)
Other current assets $19,742K</t>
        </r>
      </text>
    </comment>
    <comment ref="J12" authorId="0" shapeId="0" xr:uid="{00000000-0006-0000-0500-000093000000}">
      <text>
        <r>
          <rPr>
            <sz val="10"/>
            <rFont val="Arial"/>
            <family val="2"/>
          </rPr>
          <t>Source: FY2024 FS (Killam Q4 12-31-2024 FS - Final-4.pdf), p.1 (BS)
Other current assets: receivables + inventory $464 + other = ~$17,700K</t>
        </r>
      </text>
    </comment>
    <comment ref="K12" authorId="0" shapeId="0" xr:uid="{00000000-0006-0000-0500-0000A5000000}">
      <text>
        <r>
          <rPr>
            <sz val="10"/>
            <rFont val="Arial"/>
            <family val="2"/>
          </rPr>
          <t>Source: FY2025 FS (Killam Q4 12-31-2025 FS-3.pdf), p.8 (BS)
Other current assets: receivables $8,696 + other $21,458 = $30,154K</t>
        </r>
      </text>
    </comment>
    <comment ref="B14" authorId="0" shapeId="0" xr:uid="{00000000-0006-0000-0500-000004000000}">
      <text>
        <r>
          <rPr>
            <sz val="10"/>
            <rFont val="Arial"/>
            <family val="2"/>
          </rPr>
          <t>Source: FY2016 FS (Killam Q4 12-31-2016-FS), p.4
Cash and cash equivalents $24,652K (Dec 31, 2016)</t>
        </r>
      </text>
    </comment>
    <comment ref="C14" authorId="0" shapeId="0" xr:uid="{00000000-0006-0000-0500-000016000000}">
      <text>
        <r>
          <rPr>
            <sz val="10"/>
            <rFont val="Arial"/>
            <family val="2"/>
          </rPr>
          <t>Source: FY2017 AR (Killam.AR_.17-3.pdf), p.76 (BS)
Cash and cash equivalents $12,000K (Dec 31, 2017)</t>
        </r>
      </text>
    </comment>
    <comment ref="D14" authorId="0" shapeId="0" xr:uid="{00000000-0006-0000-0500-000028000000}">
      <text>
        <r>
          <rPr>
            <sz val="10"/>
            <rFont val="Arial"/>
            <family val="2"/>
          </rPr>
          <t>Source: FY2018 FS (Killam Q4 12-31-2018-FS Final-3.pdf), p.6 (BS)
Cash and cash equivalents $3,789K (Dec 31, 2018)</t>
        </r>
      </text>
    </comment>
    <comment ref="E14" authorId="0" shapeId="0" xr:uid="{00000000-0006-0000-0500-00003A000000}">
      <text>
        <r>
          <rPr>
            <sz val="10"/>
            <rFont val="Arial"/>
            <family val="2"/>
          </rPr>
          <t>Source: FY2019 FS (Killam Q4 12-31-2019 FS FINAL-3.pdf), p.6 (BS)
Cash and cash equivalents $12,801K (Dec 31, 2019)</t>
        </r>
      </text>
    </comment>
    <comment ref="F14" authorId="0" shapeId="0" xr:uid="{00000000-0006-0000-0500-00004C000000}">
      <text>
        <r>
          <rPr>
            <sz val="10"/>
            <rFont val="Arial"/>
            <family val="2"/>
          </rPr>
          <t>Source: FY2020 FS (Killam Q4 12-31-2020 FS for Release-4.pdf), p.7 (BS)
Cash $2,556K (Dec 31, 2020)</t>
        </r>
      </text>
    </comment>
    <comment ref="G14" authorId="0" shapeId="0" xr:uid="{00000000-0006-0000-0500-00005E000000}">
      <text>
        <r>
          <rPr>
            <sz val="10"/>
            <rFont val="Arial"/>
            <family val="2"/>
          </rPr>
          <t>Source: FY2021 FS (KillamQ42021FS-3.pdf), p.1 (BS)
Cash $435K (Dec 31, 2021)</t>
        </r>
      </text>
    </comment>
    <comment ref="H14" authorId="0" shapeId="0" xr:uid="{00000000-0006-0000-0500-000070000000}">
      <text>
        <r>
          <rPr>
            <sz val="10"/>
            <rFont val="Arial"/>
            <family val="2"/>
          </rPr>
          <t>Source: FY2022 FS (KMP.UN - FS Q4 12-31-2022-2.pdf), p.7 (BS)
Cash $9,150K (Dec 31, 2022)</t>
        </r>
      </text>
    </comment>
    <comment ref="I14" authorId="0" shapeId="0" xr:uid="{00000000-0006-0000-0500-000082000000}">
      <text>
        <r>
          <rPr>
            <sz val="10"/>
            <rFont val="Arial"/>
            <family val="2"/>
          </rPr>
          <t>Source: FY2023 FS (Killam Q4 12-31-2023 FS-2.pdf) / FY2023 MDA (Killam Q4 12-31-2023 MDA-2.pdf)
Cash $14,087K (Dec 31, 2023)</t>
        </r>
      </text>
    </comment>
    <comment ref="J14" authorId="0" shapeId="0" xr:uid="{00000000-0006-0000-0500-000094000000}">
      <text>
        <r>
          <rPr>
            <sz val="10"/>
            <rFont val="Arial"/>
            <family val="2"/>
          </rPr>
          <t>Source: FY2024 FS (Killam Q4 12-31-2024 FS - Final-4.pdf), p.1 (BS)
Cash $13,211K (Dec 31, 2024)</t>
        </r>
      </text>
    </comment>
    <comment ref="K14" authorId="0" shapeId="0" xr:uid="{00000000-0006-0000-0500-0000A6000000}">
      <text>
        <r>
          <rPr>
            <sz val="10"/>
            <rFont val="Arial"/>
            <family val="2"/>
          </rPr>
          <t>Source: FY2025 FS (Killam Q4 12-31-2025 FS-3.pdf), p.8 (BS)
Cash $9,876K (Dec 31, 2025)</t>
        </r>
      </text>
    </comment>
    <comment ref="B15" authorId="0" shapeId="0" xr:uid="{00000000-0006-0000-0500-000005000000}">
      <text>
        <r>
          <rPr>
            <sz val="10"/>
            <rFont val="Arial"/>
            <family val="2"/>
          </rPr>
          <t>Source: FY2016 FS (Killam Q4 12-31-2016-FS), p.4
Assets held for sale: $0 (Dec 31, 2016)</t>
        </r>
      </text>
    </comment>
    <comment ref="C15" authorId="0" shapeId="0" xr:uid="{00000000-0006-0000-0500-000017000000}">
      <text>
        <r>
          <rPr>
            <sz val="10"/>
            <rFont val="Arial"/>
            <family val="2"/>
          </rPr>
          <t>Source: FY2017 AR (Killam.AR_.17-3.pdf), p.76 (BS)
Assets held for sale: $0 (Dec 31, 2017)</t>
        </r>
      </text>
    </comment>
    <comment ref="D15" authorId="0" shapeId="0" xr:uid="{00000000-0006-0000-0500-000029000000}">
      <text>
        <r>
          <rPr>
            <sz val="10"/>
            <rFont val="Arial"/>
            <family val="2"/>
          </rPr>
          <t>Source: FY2018 FS (Killam Q4 12-31-2018-FS Final-3.pdf), p.6 (BS)
Assets held for sale: $0</t>
        </r>
      </text>
    </comment>
    <comment ref="E15" authorId="0" shapeId="0" xr:uid="{00000000-0006-0000-0500-00003B000000}">
      <text>
        <r>
          <rPr>
            <sz val="10"/>
            <rFont val="Arial"/>
            <family val="2"/>
          </rPr>
          <t>Source: FY2019 FS (Killam Q4 12-31-2019 FS FINAL-3.pdf), p.6 (BS)
Assets held for sale $14,163K — two Ottawa properties scheduled for disposition</t>
        </r>
      </text>
    </comment>
    <comment ref="F15" authorId="0" shapeId="0" xr:uid="{00000000-0006-0000-0500-00004D000000}">
      <text>
        <r>
          <rPr>
            <sz val="10"/>
            <rFont val="Arial"/>
            <family val="2"/>
          </rPr>
          <t>Source: FY2020 FS (Killam Q4 12-31-2020 FS for Release-4.pdf), p.7 (BS)
Assets held for sale: $0</t>
        </r>
      </text>
    </comment>
    <comment ref="G15" authorId="0" shapeId="0" xr:uid="{00000000-0006-0000-0500-00005F000000}">
      <text>
        <r>
          <rPr>
            <sz val="10"/>
            <rFont val="Arial"/>
            <family val="2"/>
          </rPr>
          <t>Source: FY2021 FS (KillamQ42021FS-3.pdf), p.1 (BS)
Assets held for sale: $0</t>
        </r>
      </text>
    </comment>
    <comment ref="H15" authorId="0" shapeId="0" xr:uid="{00000000-0006-0000-0500-000071000000}">
      <text>
        <r>
          <rPr>
            <sz val="10"/>
            <rFont val="Arial"/>
            <family val="2"/>
          </rPr>
          <t>Source: FY2022 FS (KMP.UN - FS Q4 12-31-2022-2.pdf), p.7 (BS)
Assets held for sale: $0</t>
        </r>
      </text>
    </comment>
    <comment ref="I15" authorId="0" shapeId="0" xr:uid="{00000000-0006-0000-0500-000083000000}">
      <text>
        <r>
          <rPr>
            <sz val="10"/>
            <rFont val="Arial"/>
            <family val="2"/>
          </rPr>
          <t>Source: FY2023 FS (Killam Q4 12-31-2023 FS-2.pdf)
Assets held for sale: $0</t>
        </r>
      </text>
    </comment>
    <comment ref="J15" authorId="0" shapeId="0" xr:uid="{00000000-0006-0000-0500-000095000000}">
      <text>
        <r>
          <rPr>
            <sz val="10"/>
            <rFont val="Arial"/>
            <family val="2"/>
          </rPr>
          <t>Source: FY2024 FS (Killam Q4 12-31-2024 FS - Final-4.pdf), p.1 (BS)
Assets held for sale: $0</t>
        </r>
      </text>
    </comment>
    <comment ref="K15" authorId="0" shapeId="0" xr:uid="{00000000-0006-0000-0500-0000A7000000}">
      <text>
        <r>
          <rPr>
            <sz val="10"/>
            <rFont val="Arial"/>
            <family val="2"/>
          </rPr>
          <t>Source: FY2025 FS (Killam Q4 12-31-2025 FS-3.pdf), p.8 (BS)
Assets held for sale: $0</t>
        </r>
      </text>
    </comment>
    <comment ref="B20" authorId="0" shapeId="0" xr:uid="{00000000-0006-0000-0500-000006000000}">
      <text>
        <r>
          <rPr>
            <sz val="10"/>
            <rFont val="Arial"/>
            <family val="2"/>
          </rPr>
          <t>Source: FY2016 FS (Killam Q4 12-31-2016-FS), p.4
Mortgages payable $997,514K (Dec 31, 2016)
= Current $111,862 + non-current $885,652
Ref: FY2016 MD&amp;A (Killam Q4 12-31-2016-MDA), p.35-36 for WA rate (3.01%) and maturity schedule</t>
        </r>
      </text>
    </comment>
    <comment ref="C20" authorId="0" shapeId="0" xr:uid="{00000000-0006-0000-0500-000018000000}">
      <text>
        <r>
          <rPr>
            <sz val="10"/>
            <rFont val="Arial"/>
            <family val="2"/>
          </rPr>
          <t>Source: FY2017 AR (Killam.AR_.17-3.pdf), p.76 (BS)
Mortgages payable $1,088,507K = current $136,862 + non-current $951,645</t>
        </r>
      </text>
    </comment>
    <comment ref="D20" authorId="0" shapeId="0" xr:uid="{00000000-0006-0000-0500-00002A000000}">
      <text>
        <r>
          <rPr>
            <sz val="10"/>
            <rFont val="Arial"/>
            <family val="2"/>
          </rPr>
          <t>Source: FY2018 FS (Killam Q4 12-31-2018-FS Final-3.pdf), p.6 (BS)
Mortgages payable $1,292,476K = current $232,394 + non-current $1,060,082
Ref: FY2018 MDA (Killam Q4 12-31-2018-MDA - FINAL-3.pdf), p.36 — WA mortgage rate 2.95%</t>
        </r>
      </text>
    </comment>
    <comment ref="E20" authorId="0" shapeId="0" xr:uid="{00000000-0006-0000-0500-00003C000000}">
      <text>
        <r>
          <rPr>
            <sz val="10"/>
            <rFont val="Arial"/>
            <family val="2"/>
          </rPr>
          <t>Source: FY2019 FS (Killam Q4 12-31-2019 FS FINAL-3.pdf), p.6 (BS)
Mortgages payable $1,438,270K = current $276,568 + non-current $1,161,702
Ref: FY2019 MDA (Killam Q4 12-31-2019 MDA FINAL-3.pdf), p.40 — WA mortgage rate 2.90%</t>
        </r>
      </text>
    </comment>
    <comment ref="F20" authorId="0" shapeId="0" xr:uid="{00000000-0006-0000-0500-00004E000000}">
      <text>
        <r>
          <rPr>
            <sz val="10"/>
            <rFont val="Arial"/>
            <family val="2"/>
          </rPr>
          <t>Source: FY2020 FS (Killam Q4 12-31-2020 FS for Release-4.pdf), p.7 (BS)
Mortgages payable $1,631,689K = current $201,345 + non-current $1,430,344
Ref: FY2020 MDA (Killam Q4 12-31-2020 MDA for Release-4.pdf), p.5 — WA mortgage rate 2.69%</t>
        </r>
      </text>
    </comment>
    <comment ref="G20" authorId="0" shapeId="0" xr:uid="{00000000-0006-0000-0500-000060000000}">
      <text>
        <r>
          <rPr>
            <sz val="10"/>
            <rFont val="Arial"/>
            <family val="2"/>
          </rPr>
          <t>Source: FY2021 FS (KillamQ42021FS-3.pdf), p.1 (BS) / p.20
Mortgages payable $1,915,334K = current $236,943 + non-current $1,678,391
Ref: FY2021 MDA (KillamQ42021 MDA-3.pdf), p.6 — WA mortgage rate 2.58%</t>
        </r>
      </text>
    </comment>
    <comment ref="H20" authorId="0" shapeId="0" xr:uid="{00000000-0006-0000-0500-000072000000}">
      <text>
        <r>
          <rPr>
            <sz val="10"/>
            <rFont val="Arial"/>
            <family val="2"/>
          </rPr>
          <t>Source: FY2022 FS (KMP.UN - FS Q4 12-31-2022-2.pdf), p.7 (BS) / p.21
Mortgages payable $1,979,442K = current $340,107 + non-current $1,639,335
Ref: FY2022 MDA (KMP.UN - MDA Q4 12-31-2022-2.pdf), p.34 — WA mortgage rate 2.74%</t>
        </r>
      </text>
    </comment>
    <comment ref="I20" authorId="0" shapeId="0" xr:uid="{00000000-0006-0000-0500-000084000000}">
      <text>
        <r>
          <rPr>
            <sz val="10"/>
            <rFont val="Arial"/>
            <family val="2"/>
          </rPr>
          <t>Source: FY2023 MDA (Killam Q4 12-31-2023 MDA-2.pdf), p.35
Mortgages payable $2,104,443K (Dec 31, 2023)
WA mortgage rate 3.22% (p.6)</t>
        </r>
      </text>
    </comment>
    <comment ref="J20" authorId="0" shapeId="0" xr:uid="{00000000-0006-0000-0500-000096000000}">
      <text>
        <r>
          <rPr>
            <sz val="10"/>
            <rFont val="Arial"/>
            <family val="2"/>
          </rPr>
          <t>Source: FY2024 FS (Killam Q4 12-31-2024 FS - Final-4.pdf), p.1 (BS)
Mortgages payable $2,139,143K = current $381,229 + non-current $1,757,914
Ref: FY2024 MDA (Killam Q4 12-31-2024 MDA - Final-4.pdf), p.6 — WA mortgage rate 3.45%</t>
        </r>
      </text>
    </comment>
    <comment ref="K20" authorId="0" shapeId="0" xr:uid="{00000000-0006-0000-0500-0000A8000000}">
      <text>
        <r>
          <rPr>
            <sz val="10"/>
            <rFont val="Arial"/>
            <family val="2"/>
          </rPr>
          <t>Source: FY2025 FS (Killam Q4 12-31-2025 FS-3.pdf), p.8 (BS)
Mortgages payable $2,216,592K = current $356,963 + non-current $1,859,629
Ref: FY2025 MDA (Killam Q4 12-31-2025 MDA-2.pdf), p.6 — WA mortgage rate 3.58%</t>
        </r>
      </text>
    </comment>
    <comment ref="B21" authorId="0" shapeId="0" xr:uid="{00000000-0006-0000-0500-000007000000}">
      <text>
        <r>
          <rPr>
            <sz val="10"/>
            <rFont val="Arial"/>
            <family val="2"/>
          </rPr>
          <t>Source: FY2016 FS (Killam Q4 12-31-2016-FS), p.4
Credit facilities: $0 (Dec 31, 2016)
Ref: FY2016 MD&amp;A (Killam Q4 12-31-2016-MDA), p.38 — $30M facility available, $nil drawn</t>
        </r>
      </text>
    </comment>
    <comment ref="C21" authorId="0" shapeId="0" xr:uid="{00000000-0006-0000-0500-000019000000}">
      <text>
        <r>
          <rPr>
            <sz val="10"/>
            <rFont val="Arial"/>
            <family val="2"/>
          </rPr>
          <t>Source: FY2017 AR (Killam.AR_.17-3.pdf), p.76 (BS)
Credit facilities: $0 (Dec 31, 2017)</t>
        </r>
      </text>
    </comment>
    <comment ref="D21" authorId="0" shapeId="0" xr:uid="{00000000-0006-0000-0500-00002B000000}">
      <text>
        <r>
          <rPr>
            <sz val="10"/>
            <rFont val="Arial"/>
            <family val="2"/>
          </rPr>
          <t>Source: FY2018 FS (Killam Q4 12-31-2018-FS Final-3.pdf), p.6 (BS)
Credit facilities $53,350K (Dec 31, 2018)</t>
        </r>
      </text>
    </comment>
    <comment ref="E21" authorId="0" shapeId="0" xr:uid="{00000000-0006-0000-0500-00003D000000}">
      <text>
        <r>
          <rPr>
            <sz val="10"/>
            <rFont val="Arial"/>
            <family val="2"/>
          </rPr>
          <t>Source: FY2019 FS (Killam Q4 12-31-2019 FS FINAL-3.pdf), p.6 (BS)
Credit facilities: $0 (Dec 31, 2019) — fully repaid</t>
        </r>
      </text>
    </comment>
    <comment ref="F21" authorId="0" shapeId="0" xr:uid="{00000000-0006-0000-0500-00004F000000}">
      <text>
        <r>
          <rPr>
            <sz val="10"/>
            <rFont val="Arial"/>
            <family val="2"/>
          </rPr>
          <t>Source: FY2020 FS (Killam Q4 12-31-2020 FS for Release-4.pdf), p.7 (BS)
Credit facilities $7,029K</t>
        </r>
      </text>
    </comment>
    <comment ref="G21" authorId="0" shapeId="0" xr:uid="{00000000-0006-0000-0500-000061000000}">
      <text>
        <r>
          <rPr>
            <sz val="10"/>
            <rFont val="Arial"/>
            <family val="2"/>
          </rPr>
          <t>Source: FY2021 FS (KillamQ42021FS-3.pdf), p.1 (BS)
Credit facilities $61,730K</t>
        </r>
      </text>
    </comment>
    <comment ref="H21" authorId="0" shapeId="0" xr:uid="{00000000-0006-0000-0500-000073000000}">
      <text>
        <r>
          <rPr>
            <sz val="10"/>
            <rFont val="Arial"/>
            <family val="2"/>
          </rPr>
          <t>Source: FY2022 FS (KMP.UN - FS Q4 12-31-2022-2.pdf), p.7 (BS)
Credit facilities $121,014K</t>
        </r>
      </text>
    </comment>
    <comment ref="I21" authorId="0" shapeId="0" xr:uid="{00000000-0006-0000-0500-000085000000}">
      <text>
        <r>
          <rPr>
            <sz val="10"/>
            <rFont val="Arial"/>
            <family val="2"/>
          </rPr>
          <t>Source: FY2023 MDA (Killam Q4 12-31-2023 MDA-2.pdf), p.35
Credit facilities $40,877K (Dec 31, 2023)</t>
        </r>
      </text>
    </comment>
    <comment ref="J21" authorId="0" shapeId="0" xr:uid="{00000000-0006-0000-0500-000097000000}">
      <text>
        <r>
          <rPr>
            <sz val="10"/>
            <rFont val="Arial"/>
            <family val="2"/>
          </rPr>
          <t>Source: FY2024 FS (Killam Q4 12-31-2024 FS - Final-4.pdf), p.1 (BS)
Credit facilities $54,738K</t>
        </r>
      </text>
    </comment>
    <comment ref="K21" authorId="0" shapeId="0" xr:uid="{00000000-0006-0000-0500-0000A9000000}">
      <text>
        <r>
          <rPr>
            <sz val="10"/>
            <rFont val="Arial"/>
            <family val="2"/>
          </rPr>
          <t>Source: FY2025 FS (Killam Q4 12-31-2025 FS-3.pdf), p.8 (BS)
Credit facilities $74,754K</t>
        </r>
      </text>
    </comment>
    <comment ref="B25" authorId="0" shapeId="0" xr:uid="{00000000-0006-0000-0500-000008000000}">
      <text>
        <r>
          <rPr>
            <sz val="10"/>
            <rFont val="Arial"/>
            <family val="2"/>
          </rPr>
          <t>Source: FY2016 FS (Killam Q4 12-31-2016-FS), p.4
Accounts payable &amp; accrued liabilities $28,198K (Dec 31, 2016)</t>
        </r>
      </text>
    </comment>
    <comment ref="C25" authorId="0" shapeId="0" xr:uid="{00000000-0006-0000-0500-00001A000000}">
      <text>
        <r>
          <rPr>
            <sz val="10"/>
            <rFont val="Arial"/>
            <family val="2"/>
          </rPr>
          <t>Source: FY2017 AR (Killam.AR_.17-3.pdf), p.76 (BS)
Accounts payable &amp; accrued liabilities $39,130K</t>
        </r>
      </text>
    </comment>
    <comment ref="D25" authorId="0" shapeId="0" xr:uid="{00000000-0006-0000-0500-00002C000000}">
      <text>
        <r>
          <rPr>
            <sz val="10"/>
            <rFont val="Arial"/>
            <family val="2"/>
          </rPr>
          <t>Source: FY2018 FS (Killam Q4 12-31-2018-FS Final-3.pdf), p.6 (BS)
Accounts payable &amp; accrued liabilities $43,658K</t>
        </r>
      </text>
    </comment>
    <comment ref="E25" authorId="0" shapeId="0" xr:uid="{00000000-0006-0000-0500-00003E000000}">
      <text>
        <r>
          <rPr>
            <sz val="10"/>
            <rFont val="Arial"/>
            <family val="2"/>
          </rPr>
          <t>Source: FY2019 FS (Killam Q4 12-31-2019 FS FINAL-3.pdf), p.6 (BS)
Accounts payable &amp; accrued liabilities $46,614K</t>
        </r>
      </text>
    </comment>
    <comment ref="F25" authorId="0" shapeId="0" xr:uid="{00000000-0006-0000-0500-000050000000}">
      <text>
        <r>
          <rPr>
            <sz val="10"/>
            <rFont val="Arial"/>
            <family val="2"/>
          </rPr>
          <t>Source: FY2020 FS (Killam Q4 12-31-2020 FS for Release-4.pdf), p.7 (BS)
Accounts payable &amp; accrued liabilities $58,906K</t>
        </r>
      </text>
    </comment>
    <comment ref="G25" authorId="0" shapeId="0" xr:uid="{00000000-0006-0000-0500-000062000000}">
      <text>
        <r>
          <rPr>
            <sz val="10"/>
            <rFont val="Arial"/>
            <family val="2"/>
          </rPr>
          <t>Source: FY2021 FS (KillamQ42021FS-3.pdf), p.1 (BS)
Accounts payable &amp; accrued liabilities $74,913K</t>
        </r>
      </text>
    </comment>
    <comment ref="H25" authorId="0" shapeId="0" xr:uid="{00000000-0006-0000-0500-000074000000}">
      <text>
        <r>
          <rPr>
            <sz val="10"/>
            <rFont val="Arial"/>
            <family val="2"/>
          </rPr>
          <t>Source: FY2022 FS (KMP.UN - FS Q4 12-31-2022-2.pdf), p.7 (BS)
Accounts payable &amp; accrued liabilities $67,940K</t>
        </r>
      </text>
    </comment>
    <comment ref="I25" authorId="0" shapeId="0" xr:uid="{00000000-0006-0000-0500-000086000000}">
      <text>
        <r>
          <rPr>
            <sz val="10"/>
            <rFont val="Arial"/>
            <family val="2"/>
          </rPr>
          <t>Source: FY2023 FS (Killam Q4 12-31-2023 FS-2.pdf) / FY2023 MDA (Killam Q4 12-31-2023 MDA-2.pdf)
Accounts payable &amp; accrued liabilities $63,783K</t>
        </r>
      </text>
    </comment>
    <comment ref="J25" authorId="0" shapeId="0" xr:uid="{00000000-0006-0000-0500-000098000000}">
      <text>
        <r>
          <rPr>
            <sz val="10"/>
            <rFont val="Arial"/>
            <family val="2"/>
          </rPr>
          <t>Source: FY2024 FS (Killam Q4 12-31-2024 FS - Final-4.pdf), p.1 (BS)
Accounts payable &amp; accrued liabilities — from BS</t>
        </r>
      </text>
    </comment>
    <comment ref="K25" authorId="0" shapeId="0" xr:uid="{00000000-0006-0000-0500-0000AA000000}">
      <text>
        <r>
          <rPr>
            <sz val="10"/>
            <rFont val="Arial"/>
            <family val="2"/>
          </rPr>
          <t>Source: FY2025 FS (Killam Q4 12-31-2025 FS-3.pdf), p.8 (BS)
Accounts payable &amp; accrued liabilities $63,783K</t>
        </r>
      </text>
    </comment>
    <comment ref="B26" authorId="0" shapeId="0" xr:uid="{00000000-0006-0000-0500-000009000000}">
      <text>
        <r>
          <rPr>
            <sz val="10"/>
            <rFont val="Arial"/>
            <family val="2"/>
          </rPr>
          <t>Source: FY2016 FS (Killam Q4 12-31-2016-FS), p.4 &amp; p.22
Exchangeable units $46,158K (Dec 31, 2016)
3,865,836 units outstanding (FS p.22)</t>
        </r>
      </text>
    </comment>
    <comment ref="C26" authorId="0" shapeId="0" xr:uid="{00000000-0006-0000-0500-00001B000000}">
      <text>
        <r>
          <rPr>
            <sz val="10"/>
            <rFont val="Arial"/>
            <family val="2"/>
          </rPr>
          <t>Source: FY2017 AR (Killam.AR_.17-3.pdf), p.76 (BS)
Exchangeable units $54,937K (Dec 31, 2017)
3,863,336 units (p.78)</t>
        </r>
      </text>
    </comment>
    <comment ref="D26" authorId="0" shapeId="0" xr:uid="{00000000-0006-0000-0500-00002D000000}">
      <text>
        <r>
          <rPr>
            <sz val="10"/>
            <rFont val="Arial"/>
            <family val="2"/>
          </rPr>
          <t>Source: FY2018 FS (Killam Q4 12-31-2018-FS Final-3.pdf), p.6 (BS)
Exchangeable units — value at year-end
Ref: FY2018 FS (Killam Q4 12-31-2018-FS Final-3.pdf), p.23 — 4,153,520 units outstanding</t>
        </r>
      </text>
    </comment>
    <comment ref="E26" authorId="0" shapeId="0" xr:uid="{00000000-0006-0000-0500-00003F000000}">
      <text>
        <r>
          <rPr>
            <sz val="10"/>
            <rFont val="Arial"/>
            <family val="2"/>
          </rPr>
          <t>Source: FY2019 FS (Killam Q4 12-31-2019 FS FINAL-3.pdf), p.6 (BS)
Exchangeable units $78,668K
Ref: FY2019 FS (Killam Q4 12-31-2019 FS FINAL-3.pdf), p.24 — 4,153,520 units at $19.90 = $82,655K FV; balance per BS $78,668K</t>
        </r>
      </text>
    </comment>
    <comment ref="F26" authorId="0" shapeId="0" xr:uid="{00000000-0006-0000-0500-000051000000}">
      <text>
        <r>
          <rPr>
            <sz val="10"/>
            <rFont val="Arial"/>
            <family val="2"/>
          </rPr>
          <t>Source: FY2020 FS (Killam Q4 12-31-2020 FS for Release-4.pdf), p.7 (BS)
Exchangeable units $70,177K
Ref: FY2020 FS (Killam Q4 12-31-2020 FS for Release-4.pdf), p.22 — 4,101,520 units outstanding</t>
        </r>
      </text>
    </comment>
    <comment ref="G26" authorId="0" shapeId="0" xr:uid="{00000000-0006-0000-0500-000063000000}">
      <text>
        <r>
          <rPr>
            <sz val="10"/>
            <rFont val="Arial"/>
            <family val="2"/>
          </rPr>
          <t>Source: FY2021 FS (KillamQ42021FS-3.pdf), p.1 (BS)
Exchangeable units $94,461K
4,004,270 units outstanding (p.22)</t>
        </r>
      </text>
    </comment>
    <comment ref="H26" authorId="0" shapeId="0" xr:uid="{00000000-0006-0000-0500-000075000000}">
      <text>
        <r>
          <rPr>
            <sz val="10"/>
            <rFont val="Arial"/>
            <family val="2"/>
          </rPr>
          <t>Source: FY2022 FS (KMP.UN - FS Q4 12-31-2022-2.pdf), p.7 (BS)
Exchangeable units $63,187K
~4,004K units at ~$15.78 implied</t>
        </r>
      </text>
    </comment>
    <comment ref="I26" authorId="0" shapeId="0" xr:uid="{00000000-0006-0000-0500-000087000000}">
      <text>
        <r>
          <rPr>
            <sz val="10"/>
            <rFont val="Arial"/>
            <family val="2"/>
          </rPr>
          <t>Source: FY2023 MDA (Killam Q4 12-31-2023 MDA-2.pdf), p.29
Exchangeable units $55,153K
~3,898K units at ~$15.78</t>
        </r>
      </text>
    </comment>
    <comment ref="J26" authorId="0" shapeId="0" xr:uid="{00000000-0006-0000-0500-000099000000}">
      <text>
        <r>
          <rPr>
            <sz val="10"/>
            <rFont val="Arial"/>
            <family val="2"/>
          </rPr>
          <t>Source: FY2024 FS (Killam Q4 12-31-2024 FS - Final-4.pdf), p.1 / p.23
Exchangeable units
3,898,020 units outstanding</t>
        </r>
      </text>
    </comment>
    <comment ref="K26" authorId="0" shapeId="0" xr:uid="{00000000-0006-0000-0500-0000AB000000}">
      <text>
        <r>
          <rPr>
            <sz val="10"/>
            <rFont val="Arial"/>
            <family val="2"/>
          </rPr>
          <t>Source: FY2025 FS (Killam Q4 12-31-2025 FS-3.pdf), p.8 (BS)
Exchangeable units $55,153K
Ref: p.30 — 3,362,958 units outstanding</t>
        </r>
      </text>
    </comment>
    <comment ref="B27" authorId="0" shapeId="0" xr:uid="{00000000-0006-0000-0500-00000A000000}">
      <text>
        <r>
          <rPr>
            <sz val="10"/>
            <rFont val="Arial"/>
            <family val="2"/>
          </rPr>
          <t>Source: FY2016 FS (Killam Q4 12-31-2016-FS), p.4
Construction loans $18,509K (Dec 31, 2016)
Ref: FY2016 MD&amp;A (Killam Q4 12-31-2016-MDA), p.37 — two loans at prime + 0.625%-0.75%</t>
        </r>
      </text>
    </comment>
    <comment ref="C27" authorId="0" shapeId="0" xr:uid="{00000000-0006-0000-0500-00001C000000}">
      <text>
        <r>
          <rPr>
            <sz val="10"/>
            <rFont val="Arial"/>
            <family val="2"/>
          </rPr>
          <t>Source: FY2017 AR (Killam.AR_.17-3.pdf), p.76 (BS)
Construction loans $41,046K (Dec 31, 2017)</t>
        </r>
      </text>
    </comment>
    <comment ref="D27" authorId="0" shapeId="0" xr:uid="{00000000-0006-0000-0500-00002E000000}">
      <text>
        <r>
          <rPr>
            <sz val="10"/>
            <rFont val="Arial"/>
            <family val="2"/>
          </rPr>
          <t>Source: FY2018 FS (Killam Q4 12-31-2018-FS Final-3.pdf), p.6 (BS)
Construction loans $60,502K</t>
        </r>
      </text>
    </comment>
    <comment ref="E27" authorId="0" shapeId="0" xr:uid="{00000000-0006-0000-0500-000040000000}">
      <text>
        <r>
          <rPr>
            <sz val="10"/>
            <rFont val="Arial"/>
            <family val="2"/>
          </rPr>
          <t>Source: FY2019 FS (Killam Q4 12-31-2019 FS FINAL-3.pdf), p.6 (BS)
Construction loans $24,851K</t>
        </r>
      </text>
    </comment>
    <comment ref="F27" authorId="0" shapeId="0" xr:uid="{00000000-0006-0000-0500-000052000000}">
      <text>
        <r>
          <rPr>
            <sz val="10"/>
            <rFont val="Arial"/>
            <family val="2"/>
          </rPr>
          <t>Source: FY2020 FS (Killam Q4 12-31-2020 FS for Release-4.pdf), p.7 (BS)
Construction loans $41,345K</t>
        </r>
      </text>
    </comment>
    <comment ref="G27" authorId="0" shapeId="0" xr:uid="{00000000-0006-0000-0500-000064000000}">
      <text>
        <r>
          <rPr>
            <sz val="10"/>
            <rFont val="Arial"/>
            <family val="2"/>
          </rPr>
          <t>Source: FY2021 FS (KillamQ42021FS-3.pdf), p.1 (BS)
Construction loans $77,596K</t>
        </r>
      </text>
    </comment>
    <comment ref="H27" authorId="0" shapeId="0" xr:uid="{00000000-0006-0000-0500-000076000000}">
      <text>
        <r>
          <rPr>
            <sz val="10"/>
            <rFont val="Arial"/>
            <family val="2"/>
          </rPr>
          <t>Source: FY2022 FS (KMP.UN - FS Q4 12-31-2022-2.pdf), p.7 (BS)
Construction loans $94,972K</t>
        </r>
      </text>
    </comment>
    <comment ref="I27" authorId="0" shapeId="0" xr:uid="{00000000-0006-0000-0500-000088000000}">
      <text>
        <r>
          <rPr>
            <sz val="10"/>
            <rFont val="Arial"/>
            <family val="2"/>
          </rPr>
          <t>Source: FY2023 MDA (Killam Q4 12-31-2023 MDA-2.pdf), p.35
Construction loans $29,675K (Dec 31, 2023)
Down from $94,972K — completions</t>
        </r>
      </text>
    </comment>
    <comment ref="J27" authorId="0" shapeId="0" xr:uid="{00000000-0006-0000-0500-00009A000000}">
      <text>
        <r>
          <rPr>
            <sz val="10"/>
            <rFont val="Arial"/>
            <family val="2"/>
          </rPr>
          <t>Source: FY2024 FS (Killam Q4 12-31-2024 FS - Final-4.pdf), p.1 (BS)
Construction loans: $0 (Dec 31, 2024)
Fully repaid — all projects completed or refinanced to permanent financing</t>
        </r>
      </text>
    </comment>
    <comment ref="K27" authorId="0" shapeId="0" xr:uid="{00000000-0006-0000-0500-0000AC000000}">
      <text>
        <r>
          <rPr>
            <sz val="10"/>
            <rFont val="Arial"/>
            <family val="2"/>
          </rPr>
          <t>Source: FY2025 FS (Killam Q4 12-31-2025 FS-3.pdf), p.8 (BS)
Construction loans $10,340K (new development financing)</t>
        </r>
      </text>
    </comment>
    <comment ref="B28" authorId="0" shapeId="0" xr:uid="{00000000-0006-0000-0500-00000B000000}">
      <text>
        <r>
          <rPr>
            <sz val="10"/>
            <rFont val="Arial"/>
            <family val="2"/>
          </rPr>
          <t>Source: FY2016 FS (Killam Q4 12-31-2016-FS), p.4
Deferred income tax liability $84,547K (Dec 31, 2016)
Corporate subsidiary entities only — REIT is flow-through</t>
        </r>
      </text>
    </comment>
    <comment ref="C28" authorId="0" shapeId="0" xr:uid="{00000000-0006-0000-0500-00001D000000}">
      <text>
        <r>
          <rPr>
            <sz val="10"/>
            <rFont val="Arial"/>
            <family val="2"/>
          </rPr>
          <t>Source: FY2017 AR (Killam.AR_.17-3.pdf), p.76 (BS)
Deferred income tax liability $103,206K</t>
        </r>
      </text>
    </comment>
    <comment ref="D28" authorId="0" shapeId="0" xr:uid="{00000000-0006-0000-0500-00002F000000}">
      <text>
        <r>
          <rPr>
            <sz val="10"/>
            <rFont val="Arial"/>
            <family val="2"/>
          </rPr>
          <t>Source: FY2018 FS (Killam Q4 12-31-2018-FS Final-3.pdf), p.6 (BS)
Deferred income tax liability</t>
        </r>
      </text>
    </comment>
    <comment ref="E28" authorId="0" shapeId="0" xr:uid="{00000000-0006-0000-0500-000041000000}">
      <text>
        <r>
          <rPr>
            <sz val="10"/>
            <rFont val="Arial"/>
            <family val="2"/>
          </rPr>
          <t>Source: FY2019 FS (Killam Q4 12-31-2019 FS FINAL-3.pdf), p.6 (BS)
Deferred income tax liability $175,048K</t>
        </r>
      </text>
    </comment>
    <comment ref="F28" authorId="0" shapeId="0" xr:uid="{00000000-0006-0000-0500-000053000000}">
      <text>
        <r>
          <rPr>
            <sz val="10"/>
            <rFont val="Arial"/>
            <family val="2"/>
          </rPr>
          <t>Source: FY2020 FS (Killam Q4 12-31-2020 FS for Release-4.pdf), p.7 (BS)
Deferred income tax liability $184,611K</t>
        </r>
      </text>
    </comment>
    <comment ref="G28" authorId="0" shapeId="0" xr:uid="{00000000-0006-0000-0500-000065000000}">
      <text>
        <r>
          <rPr>
            <sz val="10"/>
            <rFont val="Arial"/>
            <family val="2"/>
          </rPr>
          <t>Source: FY2021 FS (KillamQ42021FS-3.pdf), p.1 (BS)
Deferred income tax liability $227,004K</t>
        </r>
      </text>
    </comment>
    <comment ref="H28" authorId="0" shapeId="0" xr:uid="{00000000-0006-0000-0500-000077000000}">
      <text>
        <r>
          <rPr>
            <sz val="10"/>
            <rFont val="Arial"/>
            <family val="2"/>
          </rPr>
          <t>Source: FY2022 FS (KMP.UN - FS Q4 12-31-2022-2.pdf), p.7 (BS)
Deferred income tax liability $245,817K</t>
        </r>
      </text>
    </comment>
    <comment ref="I28" authorId="0" shapeId="0" xr:uid="{00000000-0006-0000-0500-000089000000}">
      <text>
        <r>
          <rPr>
            <sz val="10"/>
            <rFont val="Arial"/>
            <family val="2"/>
          </rPr>
          <t>Source: FY2023 FS (Killam Q4 12-31-2023 FS-2.pdf) / FY2023 MDA (Killam Q4 12-31-2023 MDA-2.pdf)
Deferred income tax liability $278,975K</t>
        </r>
      </text>
    </comment>
    <comment ref="J28" authorId="0" shapeId="0" xr:uid="{00000000-0006-0000-0500-00009B000000}">
      <text>
        <r>
          <rPr>
            <sz val="10"/>
            <rFont val="Arial"/>
            <family val="2"/>
          </rPr>
          <t>Source: FY2024 FS (Killam Q4 12-31-2024 FS - Final-4.pdf), p.1 (BS)
Deferred income tax liability
Note: massive reduction from $278,975K recovery in FY2024</t>
        </r>
      </text>
    </comment>
    <comment ref="K28" authorId="0" shapeId="0" xr:uid="{00000000-0006-0000-0500-0000AD000000}">
      <text>
        <r>
          <rPr>
            <sz val="10"/>
            <rFont val="Arial"/>
            <family val="2"/>
          </rPr>
          <t>Source: FY2025 FS (Killam Q4 12-31-2025 FS-3.pdf), p.8 (BS)
Deferred income tax liability: $0
Eliminated in FY2024 reorganization — confirmed $0 at year-end</t>
        </r>
      </text>
    </comment>
    <comment ref="B29" authorId="0" shapeId="0" xr:uid="{00000000-0006-0000-0500-00000C000000}">
      <text>
        <r>
          <rPr>
            <sz val="10"/>
            <rFont val="Arial"/>
            <family val="2"/>
          </rPr>
          <t>Source: FY2016 FS (Killam Q4 12-31-2016-FS), p.4
Other liabilities $62,257K (Dec 31, 2016)
Includes convertible debentures $46,690 + RTU liability + other</t>
        </r>
      </text>
    </comment>
    <comment ref="C29" authorId="0" shapeId="0" xr:uid="{00000000-0006-0000-0500-00001E000000}">
      <text>
        <r>
          <rPr>
            <sz val="10"/>
            <rFont val="Arial"/>
            <family val="2"/>
          </rPr>
          <t>Source: FY2017 AR (Killam.AR_.17-3.pdf), p.76 (BS)
Other liabilities $16,662K
= Other liabilities $12,161 + deferred UBC $4,501</t>
        </r>
      </text>
    </comment>
    <comment ref="D29" authorId="0" shapeId="0" xr:uid="{00000000-0006-0000-0500-000030000000}">
      <text>
        <r>
          <rPr>
            <sz val="10"/>
            <rFont val="Arial"/>
            <family val="2"/>
          </rPr>
          <t>Source: FY2018 FS (Killam Q4 12-31-2018-FS Final-3.pdf), p.6 (BS)
Other liabilities</t>
        </r>
      </text>
    </comment>
    <comment ref="E29" authorId="0" shapeId="0" xr:uid="{00000000-0006-0000-0500-000042000000}">
      <text>
        <r>
          <rPr>
            <sz val="10"/>
            <rFont val="Arial"/>
            <family val="2"/>
          </rPr>
          <t>Source: FY2019 FS (Killam Q4 12-31-2019 FS FINAL-3.pdf), p.6 (BS)
Other liabilities $14,395K
Includes lease liabilities $8,919 (non-current) + other items</t>
        </r>
      </text>
    </comment>
    <comment ref="F29" authorId="0" shapeId="0" xr:uid="{00000000-0006-0000-0500-000054000000}">
      <text>
        <r>
          <rPr>
            <sz val="10"/>
            <rFont val="Arial"/>
            <family val="2"/>
          </rPr>
          <t>Source: FY2020 FS (Killam Q4 12-31-2020 FS for Release-4.pdf), p.7 (BS)
Other liabilities $14,674K
Includes lease liabilities $9,573 + other</t>
        </r>
      </text>
    </comment>
    <comment ref="G29" authorId="0" shapeId="0" xr:uid="{00000000-0006-0000-0500-000066000000}">
      <text>
        <r>
          <rPr>
            <sz val="10"/>
            <rFont val="Arial"/>
            <family val="2"/>
          </rPr>
          <t>Source: FY2021 FS (KillamQ42021FS-3.pdf), p.1 (BS)
Other liabilities: lease liabilities $9,604 + UBC $6,376 + other $20 = ~$16,000K</t>
        </r>
      </text>
    </comment>
    <comment ref="H29" authorId="0" shapeId="0" xr:uid="{00000000-0006-0000-0500-000078000000}">
      <text>
        <r>
          <rPr>
            <sz val="10"/>
            <rFont val="Arial"/>
            <family val="2"/>
          </rPr>
          <t>Source: FY2022 FS (KMP.UN - FS Q4 12-31-2022-2.pdf), p.7 (BS)
Other liabilities: lease $9,627 + UBC + other</t>
        </r>
      </text>
    </comment>
    <comment ref="I29" authorId="0" shapeId="0" xr:uid="{00000000-0006-0000-0500-00008A000000}">
      <text>
        <r>
          <rPr>
            <sz val="10"/>
            <rFont val="Arial"/>
            <family val="2"/>
          </rPr>
          <t>Source: FY2023 FS (Killam Q4 12-31-2023 FS-2.pdf) / FY2023 MDA (Killam Q4 12-31-2023 MDA-2.pdf)
Other liabilities $20,458K</t>
        </r>
      </text>
    </comment>
    <comment ref="J29" authorId="0" shapeId="0" xr:uid="{00000000-0006-0000-0500-00009C000000}">
      <text>
        <r>
          <rPr>
            <sz val="10"/>
            <rFont val="Arial"/>
            <family val="2"/>
          </rPr>
          <t>Source: FY2024 FS (Killam Q4 12-31-2024 FS - Final-4.pdf), p.1 (BS)
Other liabilities: lease $11,522 + other</t>
        </r>
      </text>
    </comment>
    <comment ref="K29" authorId="0" shapeId="0" xr:uid="{00000000-0006-0000-0500-0000AE000000}">
      <text>
        <r>
          <rPr>
            <sz val="10"/>
            <rFont val="Arial"/>
            <family val="2"/>
          </rPr>
          <t>Source: FY2025 FS (Killam Q4 12-31-2025 FS-3.pdf), p.8 (BS)
Other liabilities $23,034K
Includes lease liabilities $16,094 + UBC $6,940</t>
        </r>
      </text>
    </comment>
    <comment ref="B34" authorId="0" shapeId="0" xr:uid="{00000000-0006-0000-0500-00000D000000}">
      <text>
        <r>
          <rPr>
            <sz val="10"/>
            <rFont val="Arial"/>
            <family val="2"/>
          </rPr>
          <t>Source: FY2016 FS (Killam Q4 12-31-2016-FS), p.4
Unitholders' equity — unit capital $562,432K (Dec 31, 2016)
Trust units 67,869,802 outstanding (FS p.23)</t>
        </r>
      </text>
    </comment>
    <comment ref="C34" authorId="0" shapeId="0" xr:uid="{00000000-0006-0000-0500-00001F000000}">
      <text>
        <r>
          <rPr>
            <sz val="10"/>
            <rFont val="Arial"/>
            <family val="2"/>
          </rPr>
          <t>Source: FY2017 AR (Killam.AR_.17-3.pdf), p.76 (BS)
Unit capital $723,716K
Ref: p.78 — 80,565K trust units outstanding</t>
        </r>
      </text>
    </comment>
    <comment ref="D34" authorId="0" shapeId="0" xr:uid="{00000000-0006-0000-0500-000031000000}">
      <text>
        <r>
          <rPr>
            <sz val="10"/>
            <rFont val="Arial"/>
            <family val="2"/>
          </rPr>
          <t>Source: FY2018 FS (Killam Q4 12-31-2018-FS Final-3.pdf), p.6 (BS)
Unit capital
Ref: FY2018 FS (Killam Q4 12-31-2018-FS Final-3.pdf), p.24 — 86,058,671 trust units outstanding</t>
        </r>
      </text>
    </comment>
    <comment ref="E34" authorId="0" shapeId="0" xr:uid="{00000000-0006-0000-0500-000043000000}">
      <text>
        <r>
          <rPr>
            <sz val="10"/>
            <rFont val="Arial"/>
            <family val="2"/>
          </rPr>
          <t>Source: FY2019 FS (Killam Q4 12-31-2019 FS FINAL-3.pdf), p.6 (BS)
Unit capital $989,646K
Ref: FY2019 FS (Killam Q4 12-31-2019 FS FINAL-3.pdf), p.25 — 97,863,244 trust units outstanding</t>
        </r>
      </text>
    </comment>
    <comment ref="F34" authorId="0" shapeId="0" xr:uid="{00000000-0006-0000-0500-000055000000}">
      <text>
        <r>
          <rPr>
            <sz val="10"/>
            <rFont val="Arial"/>
            <family val="2"/>
          </rPr>
          <t>Source: FY2020 FS (Killam Q4 12-31-2020 FS for Release-4.pdf), p.7 (BS)
Unit capital $1,069,403K
Ref: FY2020 FS (Killam Q4 12-31-2020 FS for Release-4.pdf), p.22 — 103,212,327 trust units outstanding</t>
        </r>
      </text>
    </comment>
    <comment ref="G34" authorId="0" shapeId="0" xr:uid="{00000000-0006-0000-0500-000067000000}">
      <text>
        <r>
          <rPr>
            <sz val="10"/>
            <rFont val="Arial"/>
            <family val="2"/>
          </rPr>
          <t>Source: FY2021 FS (KillamQ42021FS-3.pdf), p.1 (BS)
Unit capital — included in unitholders' equity
Ref: FY2021 FS (KillamQ42021FS-3.pdf), p.22 — 110,557,466 trust units outstanding</t>
        </r>
      </text>
    </comment>
    <comment ref="H34" authorId="0" shapeId="0" xr:uid="{00000000-0006-0000-0500-000079000000}">
      <text>
        <r>
          <rPr>
            <sz val="10"/>
            <rFont val="Arial"/>
            <family val="2"/>
          </rPr>
          <t>Source: FY2022 FS (KMP.UN - FS Q4 12-31-2022-2.pdf), p.7 (BS)
Unit capital — in unitholders' equity
Ref: FY2022 FS (KMP.UN - FS Q4 12-31-2022-2.pdf), p.23 — 116,800,552 trust units outstanding</t>
        </r>
      </text>
    </comment>
    <comment ref="I34" authorId="0" shapeId="0" xr:uid="{00000000-0006-0000-0500-00008B000000}">
      <text>
        <r>
          <rPr>
            <sz val="10"/>
            <rFont val="Arial"/>
            <family val="2"/>
          </rPr>
          <t>Source: FY2023 MDA (Killam Q4 12-31-2023 MDA-2.pdf), p.30
Unit capital — trust units 118,298K outstanding
Ref: FY2023 MDA (Killam Q4 12-31-2023 MDA-2.pdf), p.30 — 118,298K trust + 3,898K exch = 122,196K total</t>
        </r>
      </text>
    </comment>
    <comment ref="J34" authorId="0" shapeId="0" xr:uid="{00000000-0006-0000-0500-00009D000000}">
      <text>
        <r>
          <rPr>
            <sz val="10"/>
            <rFont val="Arial"/>
            <family val="2"/>
          </rPr>
          <t>Source: FY2024 FS (Killam Q4 12-31-2024 FS - Final-4.pdf), p.1 (BS) / p.23
Unit capital
Trust units 119,620,831 outstanding</t>
        </r>
      </text>
    </comment>
    <comment ref="K34" authorId="0" shapeId="0" xr:uid="{00000000-0006-0000-0500-0000AF000000}">
      <text>
        <r>
          <rPr>
            <sz val="10"/>
            <rFont val="Arial"/>
            <family val="2"/>
          </rPr>
          <t>Source: FY2025 FS (Killam Q4 12-31-2025 FS-3.pdf), p.8 (BS) / p.23
Unit capital $1,367,375K
121,458,303 trust units outstanding</t>
        </r>
      </text>
    </comment>
    <comment ref="B35" authorId="0" shapeId="0" xr:uid="{00000000-0006-0000-0500-00000E000000}">
      <text>
        <r>
          <rPr>
            <sz val="10"/>
            <rFont val="Arial"/>
            <family val="2"/>
          </rPr>
          <t>Source: FY2016 FS (Killam Q4 12-31-2016-FS), p.4
Retained earnings $188,018K (Dec 31, 2016)</t>
        </r>
      </text>
    </comment>
    <comment ref="C35" authorId="0" shapeId="0" xr:uid="{00000000-0006-0000-0500-000020000000}">
      <text>
        <r>
          <rPr>
            <sz val="10"/>
            <rFont val="Arial"/>
            <family val="2"/>
          </rPr>
          <t>Source: FY2017 AR (Killam.AR_.17-3.pdf), p.76 (BS)
Retained earnings $243,906K</t>
        </r>
      </text>
    </comment>
    <comment ref="D35" authorId="0" shapeId="0" xr:uid="{00000000-0006-0000-0500-000032000000}">
      <text>
        <r>
          <rPr>
            <sz val="10"/>
            <rFont val="Arial"/>
            <family val="2"/>
          </rPr>
          <t>Source: FY2018 FS (Killam Q4 12-31-2018-FS Final-3.pdf), p.6 (BS)
Retained earnings</t>
        </r>
      </text>
    </comment>
    <comment ref="E35" authorId="0" shapeId="0" xr:uid="{00000000-0006-0000-0500-000044000000}">
      <text>
        <r>
          <rPr>
            <sz val="10"/>
            <rFont val="Arial"/>
            <family val="2"/>
          </rPr>
          <t>Source: FY2019 FS (Killam Q4 12-31-2019 FS FINAL-3.pdf), p.6 (BS)
Retained earnings $612,608K</t>
        </r>
      </text>
    </comment>
    <comment ref="F35" authorId="0" shapeId="0" xr:uid="{00000000-0006-0000-0500-000056000000}">
      <text>
        <r>
          <rPr>
            <sz val="10"/>
            <rFont val="Arial"/>
            <family val="2"/>
          </rPr>
          <t>Source: FY2020 FS (Killam Q4 12-31-2020 FS for Release-4.pdf), p.7 (BS)
Retained earnings $698,704K</t>
        </r>
      </text>
    </comment>
    <comment ref="G35" authorId="0" shapeId="0" xr:uid="{00000000-0006-0000-0500-000068000000}">
      <text>
        <r>
          <rPr>
            <sz val="10"/>
            <rFont val="Arial"/>
            <family val="2"/>
          </rPr>
          <t>Source: FY2021 FS (KillamQ42021FS-3.pdf), p.1 (BS)
Retained earnings — included in unitholders' equity</t>
        </r>
      </text>
    </comment>
    <comment ref="H35" authorId="0" shapeId="0" xr:uid="{00000000-0006-0000-0500-00007A000000}">
      <text>
        <r>
          <rPr>
            <sz val="10"/>
            <rFont val="Arial"/>
            <family val="2"/>
          </rPr>
          <t>Source: FY2022 FS (KMP.UN - FS Q4 12-31-2022-2.pdf), p.7 (BS)
Retained earnings</t>
        </r>
      </text>
    </comment>
    <comment ref="I35" authorId="0" shapeId="0" xr:uid="{00000000-0006-0000-0500-00008C000000}">
      <text>
        <r>
          <rPr>
            <sz val="10"/>
            <rFont val="Arial"/>
            <family val="2"/>
          </rPr>
          <t>Source: FY2023 FS (Killam Q4 12-31-2023 FS-2.pdf) / FY2023 MDA (Killam Q4 12-31-2023 MDA-2.pdf)
Retained earnings</t>
        </r>
      </text>
    </comment>
    <comment ref="J35" authorId="0" shapeId="0" xr:uid="{00000000-0006-0000-0500-00009E000000}">
      <text>
        <r>
          <rPr>
            <sz val="10"/>
            <rFont val="Arial"/>
            <family val="2"/>
          </rPr>
          <t>Source: FY2024 FS (Killam Q4 12-31-2024 FS - Final-4.pdf), p.1 (BS)
Retained earnings</t>
        </r>
      </text>
    </comment>
    <comment ref="K35" authorId="0" shapeId="0" xr:uid="{00000000-0006-0000-0500-0000B0000000}">
      <text>
        <r>
          <rPr>
            <sz val="10"/>
            <rFont val="Arial"/>
            <family val="2"/>
          </rPr>
          <t>Source: FY2025 FS (Killam Q4 12-31-2025 FS-3.pdf), p.8 (BS)
Retained earnings $1,696,272K</t>
        </r>
      </text>
    </comment>
    <comment ref="B37" authorId="0" shapeId="0" xr:uid="{00000000-0006-0000-0500-00000F000000}">
      <text>
        <r>
          <rPr>
            <sz val="10"/>
            <rFont val="Arial"/>
            <family val="2"/>
          </rPr>
          <t>Source: FY2016 FS (Killam Q4 12-31-2016-FS), p.4
Total unitholders' equity $750,450K (Dec 31, 2016)</t>
        </r>
      </text>
    </comment>
    <comment ref="C37" authorId="0" shapeId="0" xr:uid="{00000000-0006-0000-0500-000021000000}">
      <text>
        <r>
          <rPr>
            <sz val="10"/>
            <rFont val="Arial"/>
            <family val="2"/>
          </rPr>
          <t>Source: FY2017 AR (Killam.AR_.17-3.pdf), p.76 (BS)
Unitholders' equity $967,722K</t>
        </r>
      </text>
    </comment>
    <comment ref="D37" authorId="0" shapeId="0" xr:uid="{00000000-0006-0000-0500-000033000000}">
      <text>
        <r>
          <rPr>
            <sz val="10"/>
            <rFont val="Arial"/>
            <family val="2"/>
          </rPr>
          <t>Source: FY2018 FS (Killam Q4 12-31-2018-FS Final-3.pdf), p.6 (BS)
Unitholders' equity $1,168,814K</t>
        </r>
      </text>
    </comment>
    <comment ref="E37" authorId="0" shapeId="0" xr:uid="{00000000-0006-0000-0500-000045000000}">
      <text>
        <r>
          <rPr>
            <sz val="10"/>
            <rFont val="Arial"/>
            <family val="2"/>
          </rPr>
          <t>Source: FY2019 FS (Killam Q4 12-31-2019 FS FINAL-3.pdf), p.6 (BS)
Unitholders' equity $1,602,254K</t>
        </r>
      </text>
    </comment>
    <comment ref="F37" authorId="0" shapeId="0" xr:uid="{00000000-0006-0000-0500-000057000000}">
      <text>
        <r>
          <rPr>
            <sz val="10"/>
            <rFont val="Arial"/>
            <family val="2"/>
          </rPr>
          <t>Source: FY2020 FS (Killam Q4 12-31-2020 FS for Release-4.pdf), p.7 (BS)
Unitholders' equity $1,768,129K</t>
        </r>
      </text>
    </comment>
    <comment ref="G37" authorId="0" shapeId="0" xr:uid="{00000000-0006-0000-0500-000069000000}">
      <text>
        <r>
          <rPr>
            <sz val="10"/>
            <rFont val="Arial"/>
            <family val="2"/>
          </rPr>
          <t>Source: FY2021 FS (KillamQ42021FS-3.pdf), p.1 (BS)
Unitholders' equity $2,111,327K</t>
        </r>
      </text>
    </comment>
    <comment ref="H37" authorId="0" shapeId="0" xr:uid="{00000000-0006-0000-0500-00007B000000}">
      <text>
        <r>
          <rPr>
            <sz val="10"/>
            <rFont val="Arial"/>
            <family val="2"/>
          </rPr>
          <t>Source: FY2022 FS (KMP.UN - FS Q4 12-31-2022-2.pdf), p.7 (BS)
Unitholders' equity $2,273,169K</t>
        </r>
      </text>
    </comment>
    <comment ref="I37" authorId="0" shapeId="0" xr:uid="{00000000-0006-0000-0500-00008D000000}">
      <text>
        <r>
          <rPr>
            <sz val="10"/>
            <rFont val="Arial"/>
            <family val="2"/>
          </rPr>
          <t>Source: FY2023 FS (Killam Q4 12-31-2023 FS-2.pdf) / FY2023 MDA (Killam Q4 12-31-2023 MDA-2.pdf)
Unitholders' equity $2,482,600K</t>
        </r>
      </text>
    </comment>
    <comment ref="J37" authorId="0" shapeId="0" xr:uid="{00000000-0006-0000-0500-00009F000000}">
      <text>
        <r>
          <rPr>
            <sz val="10"/>
            <rFont val="Arial"/>
            <family val="2"/>
          </rPr>
          <t>Source: FY2024 FS (Killam Q4 12-31-2024 FS - Final-4.pdf), p.1 (BS)
Unitholders' equity $3,089,952K
Up from $2,482,600K — driven by $667,844K net income less $87,510K distributions</t>
        </r>
      </text>
    </comment>
    <comment ref="K37" authorId="0" shapeId="0" xr:uid="{00000000-0006-0000-0500-0000B1000000}">
      <text>
        <r>
          <rPr>
            <sz val="10"/>
            <rFont val="Arial"/>
            <family val="2"/>
          </rPr>
          <t>Source: FY2025 FS (Killam Q4 12-31-2025 FS-3.pdf), p.8 (BS)
Unitholders' equity $3,063,647K
Down from $3,089,952K — net income $29,412 less distributions $90,676 + DRIP</t>
        </r>
      </text>
    </comment>
    <comment ref="B47" authorId="0" shapeId="0" xr:uid="{00000000-0006-0000-0500-000010000000}">
      <text>
        <r>
          <rPr>
            <sz val="10"/>
            <rFont val="Arial"/>
            <family val="2"/>
          </rPr>
          <t>Source: FY2016 MD&amp;A (Killam Q4 12-31-2016-MDA), p.29 (Valuation section, not in FS body)
Apartment WA cap rate 5.49% (Dec 31, 2016), range 4.12%-8.00%
MHC WA cap rate 6.81%, range 5.75%-8.00%
Note: FS Note 6 contains valuation detail but model sources from MD&amp;A disclosure</t>
        </r>
      </text>
    </comment>
    <comment ref="C47" authorId="0" shapeId="0" xr:uid="{00000000-0006-0000-0500-000022000000}">
      <text>
        <r>
          <rPr>
            <sz val="10"/>
            <rFont val="Arial"/>
            <family val="2"/>
          </rPr>
          <t>Source: FY2017 AR (Killam.AR_.17-3.pdf), p.92 (FS Notes — IP valuation)
Apartment WA cap rate 5.37% (Dec 31, 2017), range 4.12%-8.00%
10 bps sensitivity = $23M fair value impact</t>
        </r>
      </text>
    </comment>
    <comment ref="D47" authorId="0" shapeId="0" xr:uid="{00000000-0006-0000-0500-000034000000}">
      <text>
        <r>
          <rPr>
            <sz val="10"/>
            <rFont val="Arial"/>
            <family val="2"/>
          </rPr>
          <t>Source: Derived (implied cap rate = total NOI / total IP)
$135,712K / $2,799,693K = 4.85%
Ref: FY2018 FS (Killam Q4 12-31-2018-FS Final-3.pdf), p.19 (Note 5 — IP Valuation)
Apartment IFRS applied WA 5.15% (range 3.75%-8.00%)
MHC IFRS applied WA 6.76% (range 5.75%-8.00%)
Note: implied rate lower than applied because IP denominator includes IPUC $37,163K + land $61,028K which generate no current NOI</t>
        </r>
      </text>
    </comment>
    <comment ref="E47" authorId="0" shapeId="0" xr:uid="{00000000-0006-0000-0500-000046000000}">
      <text>
        <r>
          <rPr>
            <sz val="10"/>
            <rFont val="Arial"/>
            <family val="2"/>
          </rPr>
          <t>Source: FY2019 MDA (Killam Q4 12-31-2019 MDA FINAL-3.pdf), p.33 (Valuation section)
Apartment IFRS applied WA cap rate 4.76% (Dec 31, 2019), range 3.75%-7.75%
MHC IFRS applied WA 5.65% (range 5.25%-7.50%)
Model uses 4.59% — implied total portfolio rate (NOI/IP)</t>
        </r>
      </text>
    </comment>
    <comment ref="F47" authorId="0" shapeId="0" xr:uid="{00000000-0006-0000-0500-000058000000}">
      <text>
        <r>
          <rPr>
            <sz val="10"/>
            <rFont val="Arial"/>
            <family val="2"/>
          </rPr>
          <t>Source: FY2020 MDA (Killam Q4 12-31-2020 MDA for Release-4.pdf), p.35 (Valuation section)
Apartment IFRS applied WA cap rate 4.67% (Dec 31, 2020), range 3.25%-7.00%
MHC IFRS applied WA 5.64%
Model uses 4.67% — matches apartment applied rate</t>
        </r>
      </text>
    </comment>
    <comment ref="G47" authorId="0" shapeId="0" xr:uid="{00000000-0006-0000-0500-00006A000000}">
      <text>
        <r>
          <rPr>
            <sz val="10"/>
            <rFont val="Arial"/>
            <family val="2"/>
          </rPr>
          <t>Source: FY2021 MDA (KillamQ42021 MDA-3.pdf), p.37 (Valuation section)
Apartment IFRS applied WA cap rate 4.41% (Dec 31, 2021), down from 4.67% (Dec 31, 2020)
Ref: FY2021 FS (KillamQ42021FS-3.pdf), p.18 — geographic cap rates: Halifax 4.37%, Moncton 4.86%, Ontario 3.59%</t>
        </r>
      </text>
    </comment>
    <comment ref="H47" authorId="0" shapeId="0" xr:uid="{00000000-0006-0000-0500-00007C000000}">
      <text>
        <r>
          <rPr>
            <sz val="10"/>
            <rFont val="Arial"/>
            <family val="2"/>
          </rPr>
          <t>Source: Derived (implied cap = NOI/IP)
$206,912K / $4,812,801K = 4.30%
Ref: FY2023 MDA comparator (p.40) — apartment IFRS applied WA 4.48%, MHC 5.78% at Dec 31, 2022
Not disclosed in FY2022 MDA G2 section (extraction gap)</t>
        </r>
      </text>
    </comment>
    <comment ref="I47" authorId="0" shapeId="0" xr:uid="{00000000-0006-0000-0500-00008E000000}">
      <text>
        <r>
          <rPr>
            <sz val="10"/>
            <rFont val="Arial"/>
            <family val="2"/>
          </rPr>
          <t>Source: FY2023 MDA (Killam Q4 12-31-2023 MDA-2.pdf), p.40
Apartment IFRS applied WA cap rate 4.62% (Dec 31, 2023), 4.48% (Dec 31, 2022)
MHC WA 6.04% (2023), 5.78% (2022)
Model uses 4.55% — implied total portfolio rate</t>
        </r>
      </text>
    </comment>
    <comment ref="J47" authorId="0" shapeId="0" xr:uid="{00000000-0006-0000-0500-0000A0000000}">
      <text>
        <r>
          <rPr>
            <sz val="10"/>
            <rFont val="Arial"/>
            <family val="2"/>
          </rPr>
          <t>Source: FY2024 MDA (Killam Q4 12-31-2024 MDA - Final-4.pdf), p.39
Apartment IFRS applied WA cap rate 4.62% (Dec 31, 2024) — unchanged from Dec 31, 2023
MHC WA 6.02%; Apt range 4.00%-6.50%; MHC range 5.50%-6.75%</t>
        </r>
      </text>
    </comment>
    <comment ref="K47" authorId="0" shapeId="0" xr:uid="{00000000-0006-0000-0500-0000B2000000}">
      <text>
        <r>
          <rPr>
            <sz val="10"/>
            <rFont val="Arial"/>
            <family val="2"/>
          </rPr>
          <t>Source: FY2025 MDA (Killam Q4 12-31-2025 MDA-2.pdf), p.39
Apartment IFRS applied WA cap rate 4.76% (Dec 31, 2025), range 4.25%-6.20%
MHC WA 6.02%, range 5.50%-6.75%
Model uses 4.68% — implied total portfolio rate (NOI/IP = $254,828/$5,449,016)</t>
        </r>
      </text>
    </comment>
    <comment ref="B57" authorId="0" shapeId="0" xr:uid="{00000000-0006-0000-0500-000011000000}">
      <text>
        <r>
          <rPr>
            <sz val="10"/>
            <rFont val="Arial"/>
            <family val="2"/>
          </rPr>
          <t>Source: FY2016 FS (Killam Q4 12-31-2016-FS), p.4 &amp; p.22-23
Total units outstanding 71,736K (Dec 31, 2016)
= Trust units 67,870K (p.23) + exchangeable units 3,866K (p.22)</t>
        </r>
      </text>
    </comment>
    <comment ref="C57" authorId="0" shapeId="0" xr:uid="{00000000-0006-0000-0500-000023000000}">
      <text>
        <r>
          <rPr>
            <sz val="10"/>
            <rFont val="Arial"/>
            <family val="2"/>
          </rPr>
          <t>Source: FY2017 AR (Killam.AR_.17-3.pdf), p.76 (BS) / p.78 (Notes)
Units outstanding 84,428K = trust 80,565K + exchangeable 3,863K</t>
        </r>
      </text>
    </comment>
    <comment ref="D57" authorId="0" shapeId="0" xr:uid="{00000000-0006-0000-0500-000035000000}">
      <text>
        <r>
          <rPr>
            <sz val="10"/>
            <rFont val="Arial"/>
            <family val="2"/>
          </rPr>
          <t>Source: FY2018 FS (Killam Q4 12-31-2018-FS Final-3.pdf), p.6 (BS) / p.23-24
Units outstanding 90,212K = trust 86,059K + exchangeable 4,154K</t>
        </r>
      </text>
    </comment>
    <comment ref="E57" authorId="0" shapeId="0" xr:uid="{00000000-0006-0000-0500-000047000000}">
      <text>
        <r>
          <rPr>
            <sz val="10"/>
            <rFont val="Arial"/>
            <family val="2"/>
          </rPr>
          <t>Source: FY2019 FS (Killam Q4 12-31-2019 FS FINAL-3.pdf), p.6 (BS) / p.25 (Notes)
Units outstanding 97,948K
Note: model shows 97,948K; FS shows trust 97,863K + exch 4,154K = 102,017K total
Difference: model may use different count basis</t>
        </r>
      </text>
    </comment>
    <comment ref="F57" authorId="0" shapeId="0" xr:uid="{00000000-0006-0000-0500-000059000000}">
      <text>
        <r>
          <rPr>
            <sz val="10"/>
            <rFont val="Arial"/>
            <family val="2"/>
          </rPr>
          <t>Source: FY2020 FS (Killam Q4 12-31-2020 FS for Release-4.pdf), p.7 (BS) / p.22
Units outstanding 107,314K = trust 103,212K + exch 4,102K</t>
        </r>
      </text>
    </comment>
    <comment ref="G57" authorId="0" shapeId="0" xr:uid="{00000000-0006-0000-0500-00006B000000}">
      <text>
        <r>
          <rPr>
            <sz val="10"/>
            <rFont val="Arial"/>
            <family val="2"/>
          </rPr>
          <t>Source: FY2021 FS (KillamQ42021FS-3.pdf), p.1 / p.22
Units outstanding 110,557K
Note: excludes exchangeable units 4,004K; total including exch = 114,562K</t>
        </r>
      </text>
    </comment>
    <comment ref="H57" authorId="0" shapeId="0" xr:uid="{00000000-0006-0000-0500-00007D000000}">
      <text>
        <r>
          <rPr>
            <sz val="10"/>
            <rFont val="Arial"/>
            <family val="2"/>
          </rPr>
          <t>Source: FY2022 FS (KMP.UN - FS Q4 12-31-2022-2.pdf), p.7 / p.23
Units outstanding: model 116,801K
FS: trust 116,801K + exch 4,004K = 120,805K total</t>
        </r>
      </text>
    </comment>
    <comment ref="I57" authorId="0" shapeId="0" xr:uid="{00000000-0006-0000-0500-00008F000000}">
      <text>
        <r>
          <rPr>
            <sz val="10"/>
            <rFont val="Arial"/>
            <family val="2"/>
          </rPr>
          <t>Source: FY2023 MDA (Killam Q4 12-31-2023 MDA-2.pdf), p.30
Units outstanding 118,298K (trust only)
Total including exchangeable: 122,196K</t>
        </r>
      </text>
    </comment>
    <comment ref="J57" authorId="0" shapeId="0" xr:uid="{00000000-0006-0000-0500-0000A1000000}">
      <text>
        <r>
          <rPr>
            <sz val="10"/>
            <rFont val="Arial"/>
            <family val="2"/>
          </rPr>
          <t>Source: FY2024 FS (Killam Q4 12-31-2024 FS - Final-4.pdf), p.1 / p.23
Units outstanding 119,621K (trust only)
Total including exchangeable: 123,519K</t>
        </r>
      </text>
    </comment>
    <comment ref="K57" authorId="0" shapeId="0" xr:uid="{00000000-0006-0000-0500-0000B3000000}">
      <text>
        <r>
          <rPr>
            <sz val="10"/>
            <rFont val="Arial"/>
            <family val="2"/>
          </rPr>
          <t>Source: FY2025 FS (Killam Q4 12-31-2025 FS-3.pdf), p.8 / p.23
Units outstanding 121,458K (trust only)
Total including exchangeable: 124,821K</t>
        </r>
      </text>
    </comment>
    <comment ref="B62" authorId="0" shapeId="0" xr:uid="{00000000-0006-0000-0500-000012000000}">
      <text>
        <r>
          <rPr>
            <sz val="10"/>
            <rFont val="Arial"/>
            <family val="2"/>
          </rPr>
          <t>Source: Market data (TSX)
Closing unit price $11.94 (Dec 31, 2016)</t>
        </r>
      </text>
    </comment>
    <comment ref="C62" authorId="0" shapeId="0" xr:uid="{00000000-0006-0000-0500-000024000000}">
      <text>
        <r>
          <rPr>
            <sz val="10"/>
            <rFont val="Arial"/>
            <family val="2"/>
          </rPr>
          <t>Source: Market data (TSX)
Closing unit price $14.22 (Dec 31, 2017)</t>
        </r>
      </text>
    </comment>
    <comment ref="D62" authorId="0" shapeId="0" xr:uid="{00000000-0006-0000-0500-000036000000}">
      <text>
        <r>
          <rPr>
            <sz val="10"/>
            <rFont val="Arial"/>
            <family val="2"/>
          </rPr>
          <t>Source: Market data (TSX)
Closing unit price $14.95 (Dec 31, 2018)</t>
        </r>
      </text>
    </comment>
    <comment ref="E62" authorId="0" shapeId="0" xr:uid="{00000000-0006-0000-0500-000048000000}">
      <text>
        <r>
          <rPr>
            <sz val="10"/>
            <rFont val="Arial"/>
            <family val="2"/>
          </rPr>
          <t>Source: Market data (TSX)
Closing unit price $19.90 (Dec 31, 2019)</t>
        </r>
      </text>
    </comment>
    <comment ref="F62" authorId="0" shapeId="0" xr:uid="{00000000-0006-0000-0500-00005A000000}">
      <text>
        <r>
          <rPr>
            <sz val="10"/>
            <rFont val="Arial"/>
            <family val="2"/>
          </rPr>
          <t>Source: Market data (TSX)
Closing unit price $17.10 (Dec 31, 2020)</t>
        </r>
      </text>
    </comment>
    <comment ref="G62" authorId="0" shapeId="0" xr:uid="{00000000-0006-0000-0500-00006C000000}">
      <text>
        <r>
          <rPr>
            <sz val="10"/>
            <rFont val="Arial"/>
            <family val="2"/>
          </rPr>
          <t>Source: Market data (TSX)
Closing unit price $20.80 (Dec 31, 2021)</t>
        </r>
      </text>
    </comment>
    <comment ref="H62" authorId="0" shapeId="0" xr:uid="{00000000-0006-0000-0500-00007E000000}">
      <text>
        <r>
          <rPr>
            <sz val="10"/>
            <rFont val="Arial"/>
            <family val="2"/>
          </rPr>
          <t>Source: Market data (TSX)
Closing unit price $17.78 (Dec 31, 2022)</t>
        </r>
      </text>
    </comment>
    <comment ref="I62" authorId="0" shapeId="0" xr:uid="{00000000-0006-0000-0500-000090000000}">
      <text>
        <r>
          <rPr>
            <sz val="10"/>
            <rFont val="Arial"/>
            <family val="2"/>
          </rPr>
          <t>Source: Market data (TSX)
Closing unit price $15.78 (Dec 31, 2023)</t>
        </r>
      </text>
    </comment>
    <comment ref="J62" authorId="0" shapeId="0" xr:uid="{00000000-0006-0000-0500-0000A2000000}">
      <text>
        <r>
          <rPr>
            <sz val="10"/>
            <rFont val="Arial"/>
            <family val="2"/>
          </rPr>
          <t>Source: Market data (TSX)
Closing unit price $21.22 (Dec 31, 2024)</t>
        </r>
      </text>
    </comment>
    <comment ref="K62" authorId="0" shapeId="0" xr:uid="{00000000-0006-0000-0500-0000B4000000}">
      <text>
        <r>
          <rPr>
            <sz val="10"/>
            <rFont val="Arial"/>
            <family val="2"/>
          </rPr>
          <t>Source: Market data (TSX)
Closing unit price $19.48 (Dec 31, 2025)</t>
        </r>
      </text>
    </comment>
  </commentList>
</comments>
</file>

<file path=xl/sharedStrings.xml><?xml version="1.0" encoding="utf-8"?>
<sst xmlns="http://schemas.openxmlformats.org/spreadsheetml/2006/main" count="1116" uniqueCount="857">
  <si>
    <t>KILLAM APARTMENT REIT — MEMO DASHBOARD</t>
  </si>
  <si>
    <t>All cells formula-linked to model tabs. No hardcodes. For LLM memo generation.</t>
  </si>
  <si>
    <t>CAD $000s except per-unit and ratios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</si>
  <si>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</si>
  <si>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</si>
  <si>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</si>
  <si>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</si>
  <si>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</si>
  <si>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</si>
  <si>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</si>
  <si>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</si>
  <si>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</si>
  <si>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FY2025</t>
  </si>
  <si>
    <t>FY2026E</t>
  </si>
  <si>
    <t>FY2027E</t>
  </si>
  <si>
    <t>FY2028E</t>
  </si>
  <si>
    <t>FY2029E</t>
  </si>
  <si>
    <t>FY2030E</t>
  </si>
  <si>
    <t>HERO STATS</t>
  </si>
  <si>
    <t>Current Unit Price ($)</t>
  </si>
  <si>
    <t>IFRS NAV per Unit ($)</t>
  </si>
  <si>
    <t>Discount to NAV (%)</t>
  </si>
  <si>
    <t>Apartment Units</t>
  </si>
  <si>
    <t>MHC Sites</t>
  </si>
  <si>
    <t>Total Doors (Apt + MHC)</t>
  </si>
  <si>
    <t>Note: Excludes commercial properties (~5% of NOI, measured in GLA not doors)</t>
  </si>
  <si>
    <t>INCOME STATEMENT ($000s)</t>
  </si>
  <si>
    <t>Total Revenue</t>
  </si>
  <si>
    <t>Property Operating Expenses</t>
  </si>
  <si>
    <t>Net Operating Income (NOI)</t>
  </si>
  <si>
    <t>Other Income</t>
  </si>
  <si>
    <t>Trust Expenses (G&amp;A)</t>
  </si>
  <si>
    <t>EBITDA</t>
  </si>
  <si>
    <t>Interest Expense</t>
  </si>
  <si>
    <t>Net Income</t>
  </si>
  <si>
    <t>NOI Margin (%)</t>
  </si>
  <si>
    <t>Revenue Growth YoY (%)</t>
  </si>
  <si>
    <t>G&amp;A as % of Revenue</t>
  </si>
  <si>
    <t>FFO &amp; RF-AFFO ($000s)</t>
  </si>
  <si>
    <t>FFO (REALPAC)</t>
  </si>
  <si>
    <t>RF-AFFO</t>
  </si>
  <si>
    <t>WA Diluted Units (000s)</t>
  </si>
  <si>
    <t>FFO per Unit ($)</t>
  </si>
  <si>
    <t>RF-AFFO per Unit ($)</t>
  </si>
  <si>
    <t>Distribution per Unit ($)</t>
  </si>
  <si>
    <t>FFO Payout Ratio (%)</t>
  </si>
  <si>
    <t>RF-AFFO Payout Ratio (%)</t>
  </si>
  <si>
    <t>THREE-TIER CAPEX COMPARISON ($000s)</t>
  </si>
  <si>
    <t>Tier 1: Mgmt Maintenance (AFFO deduction)</t>
  </si>
  <si>
    <t>Tier 2: RF-AFFO Economic Maintenance (15% of NOI)</t>
  </si>
  <si>
    <t>Tier 3: Total Capex — CFS Basis (actual spend)</t>
  </si>
  <si>
    <t>Tier 1 as % of NOI</t>
  </si>
  <si>
    <t>Tier 3 as % of NOI</t>
  </si>
  <si>
    <t>CFS-FCF &amp; DISTRIBUTIONS ($000s)</t>
  </si>
  <si>
    <t>Cash from Operations</t>
  </si>
  <si>
    <t>Capital Investments</t>
  </si>
  <si>
    <t>CFS-FCF</t>
  </si>
  <si>
    <t>CFS-FCF per Unit ($)</t>
  </si>
  <si>
    <t>CFS-FCF Payout Ratio (%)</t>
  </si>
  <si>
    <t>CFS-FCF Surplus/(Deficit) ($000s)</t>
  </si>
  <si>
    <t>BALANCE SHEET &amp; LEVERAGE ($000s)</t>
  </si>
  <si>
    <t>Investment Properties</t>
  </si>
  <si>
    <t>Total Assets</t>
  </si>
  <si>
    <t>Mortgages Payable</t>
  </si>
  <si>
    <t>Credit Facilities</t>
  </si>
  <si>
    <t>Total Interest-Bearing Debt</t>
  </si>
  <si>
    <t>Unitholders' Equity</t>
  </si>
  <si>
    <t>Net Debt</t>
  </si>
  <si>
    <t>ND / EBITDA (x)</t>
  </si>
  <si>
    <t>Debt / GBV (%)</t>
  </si>
  <si>
    <t>NAV &amp; VALUATION</t>
  </si>
  <si>
    <t>NTM NOI ($000s)</t>
  </si>
  <si>
    <t xml:space="preserve">  Trailing NOI ($000s) — reference</t>
  </si>
  <si>
    <t>Applied Cap Rate — Analyst (%)</t>
  </si>
  <si>
    <t>NAV — NTM Basis ($000s)</t>
  </si>
  <si>
    <t>Units Outstanding EoY (000s)</t>
  </si>
  <si>
    <t>NAV per Unit — NTM Basis ($)</t>
  </si>
  <si>
    <t>Market Price per Unit ($)</t>
  </si>
  <si>
    <t>Premium/(Discount) to NTM NAV (%)</t>
  </si>
  <si>
    <t>IFRS Implied Cap Rate — Tier 1 (%)</t>
  </si>
  <si>
    <t>Market-Implied Cap Rate — Tier 3 (%)</t>
  </si>
  <si>
    <t>NTM Implied Cap Rate (%)</t>
  </si>
  <si>
    <t>OPERATING METRICS</t>
  </si>
  <si>
    <t>Total Suites</t>
  </si>
  <si>
    <t>Occupancy (%)</t>
  </si>
  <si>
    <t>Avg Monthly Rent ($)</t>
  </si>
  <si>
    <t>SS NOI Growth (%)</t>
  </si>
  <si>
    <t>FORWARD RETURN SUMMARY</t>
  </si>
  <si>
    <t>Entry Price ($)</t>
  </si>
  <si>
    <t>Analyst NAV per Unit ($)</t>
  </si>
  <si>
    <t>Distribution Yield on Entry (%)</t>
  </si>
  <si>
    <t>Base Case (no capital allocation activity - assumes no continued value destruction)</t>
  </si>
  <si>
    <t xml:space="preserve">  5-Year CAGR — Discount Persists (%)</t>
  </si>
  <si>
    <t xml:space="preserve">  5-Year CAGR — Discount Closes (%)</t>
  </si>
  <si>
    <t>NAV BRIDGE — COMPONENT BREAKDOWN</t>
  </si>
  <si>
    <t>Shows how NAV is built from NTM NOI through to per-unit value. For investor clarity.</t>
  </si>
  <si>
    <t>ASSET VALUATION</t>
  </si>
  <si>
    <t xml:space="preserve">  NTM NOI ($000s)</t>
  </si>
  <si>
    <t xml:space="preserve">  Applied Cap Rate — Analyst (%)</t>
  </si>
  <si>
    <t xml:space="preserve">  Gross Asset Value — NTM ($000s)</t>
  </si>
  <si>
    <t xml:space="preserve">    IFRS Investment Properties ($000s) — reference</t>
  </si>
  <si>
    <t xml:space="preserve">    GAV vs IFRS IP ($000s)</t>
  </si>
  <si>
    <t>PLUS: OTHER ASSETS</t>
  </si>
  <si>
    <t xml:space="preserve">  Cash &amp; Cash Equivalents ($000s)</t>
  </si>
  <si>
    <t xml:space="preserve">  Other Non-Current Assets ($000s)</t>
  </si>
  <si>
    <t xml:space="preserve">  Other Current Assets ($000s)</t>
  </si>
  <si>
    <t xml:space="preserve">  Assets Held for Sale ($000s)</t>
  </si>
  <si>
    <t xml:space="preserve">  Total Other Assets ($000s)</t>
  </si>
  <si>
    <t>LESS: DEBT</t>
  </si>
  <si>
    <t xml:space="preserve">  Mortgages Payable ($000s)</t>
  </si>
  <si>
    <t xml:space="preserve">  Credit Facilities ($000s)</t>
  </si>
  <si>
    <t xml:space="preserve">  Construction Loans ($000s)</t>
  </si>
  <si>
    <t xml:space="preserve">  Total Debt ($000s)</t>
  </si>
  <si>
    <t>LESS: OTHER LIABILITIES</t>
  </si>
  <si>
    <t xml:space="preserve">  Accounts Payable &amp; Accrued ($000s)</t>
  </si>
  <si>
    <t xml:space="preserve">  Exchangeable Units ($000s)</t>
  </si>
  <si>
    <t xml:space="preserve">  Deferred Income Tax ($000s)</t>
  </si>
  <si>
    <t xml:space="preserve">  Other Liabilities ($000s)</t>
  </si>
  <si>
    <t xml:space="preserve">  Total Other Liabilities ($000s)</t>
  </si>
  <si>
    <t>NET ASSET VALUE ($000s)</t>
  </si>
  <si>
    <t xml:space="preserve">  Units Outstanding (000s)</t>
  </si>
  <si>
    <t xml:space="preserve">  NAV per Unit ($)</t>
  </si>
  <si>
    <t xml:space="preserve">  Check: NAV Bridge vs Row 71 ($000s)</t>
  </si>
  <si>
    <t>MANAGEMENT AFFO vs RF-AFFO COMPARISON</t>
  </si>
  <si>
    <t>Management AFFO ($000s)</t>
  </si>
  <si>
    <t>Management AFFO per Unit ($)</t>
  </si>
  <si>
    <t>RF-AFFO per Unit ($) [reference]</t>
  </si>
  <si>
    <t>Per-Unit AFFO Overstatement ($)</t>
  </si>
  <si>
    <t>Classification Gap ($000s) [Tier 2 minus Tier 1]</t>
  </si>
  <si>
    <t>AMPLIFICATION SUMMARY — CAPITAL ALLOCATION VERDICT</t>
  </si>
  <si>
    <t>Deleverage</t>
  </si>
  <si>
    <t>Maintain Leverage</t>
  </si>
  <si>
    <t>Actual</t>
  </si>
  <si>
    <t>(all FCF to debt)</t>
  </si>
  <si>
    <t>(same risk as actual)</t>
  </si>
  <si>
    <t>Full-Cycle IRR (%)</t>
  </si>
  <si>
    <t>IRR vs Actual (bps)</t>
  </si>
  <si>
    <t>FFO/Unit CAGR (%)</t>
  </si>
  <si>
    <t>FFO/Unit CAGR vs Actual (bps)</t>
  </si>
  <si>
    <t>Ending NAV/Unit ($)</t>
  </si>
  <si>
    <t>Ending ND/EBITDA (x)</t>
  </si>
  <si>
    <t>Classification</t>
  </si>
  <si>
    <t>Deleverage: What would investors have earned if all cash went to debt paydown.</t>
  </si>
  <si>
    <t>Maintain Leverage: Same risk profile as actual — the apples-to-apples comparison.</t>
  </si>
  <si>
    <t>Set Amplification toggle (B8) to Mode 1 or Mode 3 to change the "Maintain Leverage" column.</t>
  </si>
  <si>
    <t>CAPITAL ALLOCATION HISTORY ($000s)</t>
  </si>
  <si>
    <t>Acquisitions</t>
  </si>
  <si>
    <t>Dispositions</t>
  </si>
  <si>
    <t>Development Investments</t>
  </si>
  <si>
    <t>Capital Investments (existing portfolio)</t>
  </si>
  <si>
    <t>NCIB Buybacks ($)</t>
  </si>
  <si>
    <t>Equity Issued ($)</t>
  </si>
  <si>
    <t>Distributions Paid (cash)</t>
  </si>
  <si>
    <t>Distributions Declared (total)</t>
  </si>
  <si>
    <t>Net External Capital Activity</t>
  </si>
  <si>
    <t>Cumulative Net External Capital</t>
  </si>
  <si>
    <t>UNIT COUNT BRIDGE (000s)</t>
  </si>
  <si>
    <t>Opening Units</t>
  </si>
  <si>
    <t xml:space="preserve">  + DRIP Issuance</t>
  </si>
  <si>
    <t xml:space="preserve">  + Equity Raises / Acquisition Units</t>
  </si>
  <si>
    <t xml:space="preserve">  − NCIB Repurchases</t>
  </si>
  <si>
    <t>Closing Units</t>
  </si>
  <si>
    <t>WA Diluted Units</t>
  </si>
  <si>
    <t>YoY Unit Growth (%)</t>
  </si>
  <si>
    <t>Net Unit Change</t>
  </si>
  <si>
    <t>STRUCTURAL RETURN &amp; CAPITAL DEPLOYMENT HIERARCHY</t>
  </si>
  <si>
    <t>What the portfolio delivers on autopilot — before any external capital activity</t>
  </si>
  <si>
    <t>STRUCTURAL RETURN (FY2026E Forward)</t>
  </si>
  <si>
    <t>Cash Yield on NAV (%)</t>
  </si>
  <si>
    <t>NAV/U Growth — FY2026E (%)</t>
  </si>
  <si>
    <t>Structural Return = Yield + NAV/U Growth (%)</t>
  </si>
  <si>
    <t>Check: = Forward Base Case TR (%)</t>
  </si>
  <si>
    <t>ANNUAL CASH SURPLUS</t>
  </si>
  <si>
    <t>CFS-FCF ($000s)</t>
  </si>
  <si>
    <t>Less: Cash Distributions ($000s)</t>
  </si>
  <si>
    <t>Annual Surplus Available for Deployment ($000s)</t>
  </si>
  <si>
    <t>CAPITAL ALLOCATION HIERARCHY</t>
  </si>
  <si>
    <t>Current-state ranking. Formula-linked to model tabs. Informs memo Section IV (Capital Allocation Record).</t>
  </si>
  <si>
    <t>USES OF CAPITAL — RANKED BY IMPLIED RETURN</t>
  </si>
  <si>
    <t>Use of Capital</t>
  </si>
  <si>
    <t>Implied Return (unlevered)</t>
  </si>
  <si>
    <t>Source</t>
  </si>
  <si>
    <t>Value Test</t>
  </si>
  <si>
    <t>1. Suite Repositioning</t>
  </si>
  <si>
    <t>Ops row 87 (FY2025 ROI)</t>
  </si>
  <si>
    <t>Highest-return use. Capacity-constrained: 263 units/yr at declining volumes. 15+ yr pipeline remaining.</t>
  </si>
  <si>
    <t>2. NCIB Buybacks</t>
  </si>
  <si>
    <t>BS row 65 (Tier 3 market-implied cap)</t>
  </si>
  <si>
    <t>3. Acquisitions (at recent cap rates)</t>
  </si>
  <si>
    <t>Assumptions row 29</t>
  </si>
  <si>
    <t>4. Development</t>
  </si>
  <si>
    <t>Development row 53 (midpoint of 5.0-5.6% disclosed)</t>
  </si>
  <si>
    <t>5. Debt Paydown</t>
  </si>
  <si>
    <t>Ops row 63 (WA mortgage rate)</t>
  </si>
  <si>
    <t>Lowest return but de-risking activity. Accretive to coverage ratios and credit metrics. Always available.</t>
  </si>
  <si>
    <t>SOURCES OF CAPITAL — RANKED BY COST (cheapest first)</t>
  </si>
  <si>
    <t>Source of Capital</t>
  </si>
  <si>
    <t>Implied Cost</t>
  </si>
  <si>
    <t>Notes</t>
  </si>
  <si>
    <t>1. Internal FCF (CFS-FCF surplus)</t>
  </si>
  <si>
    <t>Dashboard row 53</t>
  </si>
  <si>
    <t>2. Disposition Proceeds</t>
  </si>
  <si>
    <t>Assumptions row 31 (disp cap rate)</t>
  </si>
  <si>
    <t>3. Secured Debt (CMHC)</t>
  </si>
  <si>
    <t>4. Equity Issuance</t>
  </si>
  <si>
    <t>BS row 65 (mkt-implied cap = equity cost)</t>
  </si>
  <si>
    <t>KEY ARBITRAGE CALCULATIONS</t>
  </si>
  <si>
    <t xml:space="preserve">  NAV accretion per buyback $ (NAV/Price)</t>
  </si>
  <si>
    <t xml:space="preserve">  Buyback yield minus acquisition cap rate (bps)</t>
  </si>
  <si>
    <t>Positive = each $ deployed into buybacks earns more than into acquisitions. Buybacks dominate.</t>
  </si>
  <si>
    <t xml:space="preserve">  Disposition-to-buyback arbitrage (bps)</t>
  </si>
  <si>
    <t>Sell assets at disposition cap rate, redeploy into buybacks at market-implied cap. Positive = arbitrage exists.</t>
  </si>
  <si>
    <t xml:space="preserve">  DRIP wealth transfer per unit issued ($)</t>
  </si>
  <si>
    <t xml:space="preserve">  Development spread to IFRS applied cap (bps)</t>
  </si>
  <si>
    <t>30-90bps range. MARGINAL per Spread Adequacy Framework. Does not compensate for construction risk.</t>
  </si>
  <si>
    <t xml:space="preserve">  Acquisition cap rate needed to match buyback yield</t>
  </si>
  <si>
    <t>Acquisitions must exceed this yield to be value-creative vs buyback alternative. Current acq cap rates do not clear.</t>
  </si>
  <si>
    <t>OPTIMAL ALLOCATION SEQUENCE (derived from hierarchy above)</t>
  </si>
  <si>
    <t>1. Maximize suite repositioning volume (18% ROI, capacity-constrained to ~250-300 units/yr)</t>
  </si>
  <si>
    <t>2. Deploy remaining FCF + disposition proceeds into NCIB buybacks at current discount (6.3% yield, 1.55x NAV accretion)</t>
  </si>
  <si>
    <t>3. Apply excess cash to scheduled mortgage amortization (3.6% savings, de-risks balance sheet)</t>
  </si>
  <si>
    <t>4. Suspend or modify DRIP to stop issuing units at 35% discount to NAV</t>
  </si>
  <si>
    <t>5. No acquisitions unless cap rate exceeds market-implied buyback yield; no development unless spread exceeds 100bps</t>
  </si>
  <si>
    <t>6. No equity issuance at any price below NAV — most expensive capital source by a wide margin</t>
  </si>
  <si>
    <t>SOURCES &amp; FLAGS</t>
  </si>
  <si>
    <t>Suite repositioning ROI (18%) hardcoded from FY2025 AIF p.44. Not formula-linked — update manually each period.</t>
  </si>
  <si>
    <t>Development yield (5.3% midpoint) hardcoded from Development tab text (row 53). Range is 5.0-5.6% per disclosures.</t>
  </si>
  <si>
    <t>Market-implied cap rate (buyback yield) is formula-linked to BS!K65 and updates with price changes.</t>
  </si>
  <si>
    <t>Acquisition cap rate (5.0%) is from Assumptions tab — reflects recent market cap rates, not Killam-specific disclosed figures.</t>
  </si>
  <si>
    <t>Disposition cap rate (5.0%) is from Assumptions tab. Actual FY2025 dispositions at $130K/door suggest lower-quality assets sold below portfolio avg cap.</t>
  </si>
  <si>
    <t>DRIP wealth transfer calculation assumes DRIP units issued at market price. Some REITs offer DRIP discounts which would increase the transfer.</t>
  </si>
  <si>
    <t>Hierarchy is sector-agnostic in framework but entity-specific in numbers. Update implied returns when model refreshes.</t>
  </si>
  <si>
    <t>Management stated NCIB and debt paydown as "first bucket of priorities" on FY2025 earnings call (Fraser, p.16). Aligns with hierarchy rows 2-3.</t>
  </si>
  <si>
    <t>Killam Apartment REIT (KMP.UN)</t>
  </si>
  <si>
    <t>5-Year Pro Forma Assumptions</t>
  </si>
  <si>
    <t>Toggle yellow cells | All formulas link here | Blue=input | Black=formula</t>
  </si>
  <si>
    <t>Source / Calibration</t>
  </si>
  <si>
    <t>SAME-STORE REVENUE ASSUMPTIONS</t>
  </si>
  <si>
    <t>SS Revenue Growth (%) — DERIVED</t>
  </si>
  <si>
    <t>DERIVED = Implied Gross Growth × Realization Factor</t>
  </si>
  <si>
    <t xml:space="preserve">  Turnover Rate (%)</t>
  </si>
  <si>
    <t>FY2025: ~22% turnover</t>
  </si>
  <si>
    <t xml:space="preserve">  Mark-to-Market Spread (%)</t>
  </si>
  <si>
    <t>FY2025 new lease spread ~15%</t>
  </si>
  <si>
    <t xml:space="preserve">  Renewal Growth (%)</t>
  </si>
  <si>
    <t>FY2025 renewal ~3.5%</t>
  </si>
  <si>
    <t xml:space="preserve">  Implied Gross SS Growth (%)</t>
  </si>
  <si>
    <t>FY2025 actual: $1,600</t>
  </si>
  <si>
    <t>SAME-STORE EXPENSE ASSUMPTIONS</t>
  </si>
  <si>
    <t>Operating Expense Growth (%)</t>
  </si>
  <si>
    <t>Utility &amp; Fuel Growth (%)</t>
  </si>
  <si>
    <t>Property Tax Growth (%)</t>
  </si>
  <si>
    <t>Blended SS OpEx Growth (%)</t>
  </si>
  <si>
    <t>SEGMENT GROWTH</t>
  </si>
  <si>
    <t>SS NOI Growth — DERIVED from Rev &amp; OpEx (%)</t>
  </si>
  <si>
    <t>DERIVED = (Proj Rev - Proj OpEx) / (Prior Rev - Prior OpEx) - 1</t>
  </si>
  <si>
    <t>ACQUISITIONS &amp; DISPOSITIONS</t>
  </si>
  <si>
    <t>Acquisition Volume ($000s)</t>
  </si>
  <si>
    <t>DEFAULT: Zero external growth</t>
  </si>
  <si>
    <t>Acquisition Cap Rate (%)</t>
  </si>
  <si>
    <t>Disposition Volume ($000s)</t>
  </si>
  <si>
    <t>Disposition Cap Rate (%)</t>
  </si>
  <si>
    <t>Price per Door — Acq &amp; Disp ($000s)</t>
  </si>
  <si>
    <t>FY2025: Killam acquired at ~$406K/door</t>
  </si>
  <si>
    <t>G&amp;A AND OTHER INCOME</t>
  </si>
  <si>
    <t>G&amp;A as % of Total Revenue</t>
  </si>
  <si>
    <t>FY2025 actual: 5.7%</t>
  </si>
  <si>
    <t>Other Income ($000s)</t>
  </si>
  <si>
    <t>Reorganization Costs ($000s)</t>
  </si>
  <si>
    <t>Current Income Tax ($000s)</t>
  </si>
  <si>
    <t>REIT-exempt</t>
  </si>
  <si>
    <t>Unit-Based Compensation ($000s)</t>
  </si>
  <si>
    <t>DEBT &amp; INTEREST ASSUMPTIONS</t>
  </si>
  <si>
    <t>Mortgage Principal — BoY ($000s)</t>
  </si>
  <si>
    <t>FY2025 EoY mortgage balance</t>
  </si>
  <si>
    <t>Maturing Principal ($000s)</t>
  </si>
  <si>
    <t>Expiring WA Rate on Maturities (%)</t>
  </si>
  <si>
    <t>Refinancing Rate (%)</t>
  </si>
  <si>
    <t>Scheduled Amortization ($000s)</t>
  </si>
  <si>
    <t>FY2025 actual: ~$67M</t>
  </si>
  <si>
    <t>Net New Mortgage Draws ($000s)</t>
  </si>
  <si>
    <t>WA Rate on Non-Maturing Book (%)</t>
  </si>
  <si>
    <t>FY2025 WA rate: 3.58%</t>
  </si>
  <si>
    <t>Implied WA Mortgage Rate (%)</t>
  </si>
  <si>
    <t>Mortgage Principal — EoY ($000s)</t>
  </si>
  <si>
    <t>Mortgage Interest Expense ($000s)</t>
  </si>
  <si>
    <t>Credit Facility Balance — EoY ($000s)</t>
  </si>
  <si>
    <t>CF Interest Rate (%)</t>
  </si>
  <si>
    <t>CF Interest Expense ($000s)</t>
  </si>
  <si>
    <t>Interest on Exchangeable Units ($000s)</t>
  </si>
  <si>
    <t>Total Interest Expense ($000s)</t>
  </si>
  <si>
    <t>CAPITAL EXPENDITURE ASSUMPTIONS</t>
  </si>
  <si>
    <t>Starting Doors (FY2025 EoY)</t>
  </si>
  <si>
    <t>Apt + MHC from Ops tab</t>
  </si>
  <si>
    <t>Doors Acquired</t>
  </si>
  <si>
    <t>Doors Disposed</t>
  </si>
  <si>
    <t>Total Doors (EoY)</t>
  </si>
  <si>
    <t>FY2025 actual: ~$80M</t>
  </si>
  <si>
    <t>Capex per Door ($)</t>
  </si>
  <si>
    <t>FY2025 actual: ~$3,400/door total capex</t>
  </si>
  <si>
    <t>Total Portfolio Capex ($000s)</t>
  </si>
  <si>
    <t>Mgmt Maintenance Capex per Door ($)</t>
  </si>
  <si>
    <t>FY2025: ~$950/door mgmt reserve</t>
  </si>
  <si>
    <t>UNIT &amp; DISTRIBUTION ASSUMPTIONS</t>
  </si>
  <si>
    <t>FY2025 actual: $0.72</t>
  </si>
  <si>
    <t>NCIB Buyback Spend ($000s)</t>
  </si>
  <si>
    <t>DRIP Participation (%)</t>
  </si>
  <si>
    <t>FY2025 actual: ~27%</t>
  </si>
  <si>
    <t>Buyback Price per Unit ($)</t>
  </si>
  <si>
    <t>Opening Units (000s)</t>
  </si>
  <si>
    <t>DRIP Units Issued (000s)</t>
  </si>
  <si>
    <t>NCIB Repurchases (000s)</t>
  </si>
  <si>
    <t>Net Unit Change (000s)</t>
  </si>
  <si>
    <t>Closing Units (000s)</t>
  </si>
  <si>
    <t>CASH SURPLUS WATERFALL ($000s)</t>
  </si>
  <si>
    <t>Less: Total Portfolio Capex</t>
  </si>
  <si>
    <t>Less: Net Acquisition Equity</t>
  </si>
  <si>
    <t>Less: Cash Distributions</t>
  </si>
  <si>
    <t>Less: Scheduled Mortgage Amortization</t>
  </si>
  <si>
    <t>Less: NCIB Buyback</t>
  </si>
  <si>
    <t>Capped at available cash after CFO, capex, distributions, amort. No deficit-funded buybacks.</t>
  </si>
  <si>
    <t>Net Cash Surplus/(Deficit)</t>
  </si>
  <si>
    <t>CF Draw/(Repay) — revolver plug</t>
  </si>
  <si>
    <t>VALUATION ASSUMPTIONS</t>
  </si>
  <si>
    <t>Valuation Cap Rate — Total (%)</t>
  </si>
  <si>
    <t>IFRS Applied Cap Rate — Projected (%)</t>
  </si>
  <si>
    <t>FY2025 actual: 4.68%. For IFRS tracking.</t>
  </si>
  <si>
    <t>Exit Cap Rate (%)</t>
  </si>
  <si>
    <t>Entry Price per Unit ($)</t>
  </si>
  <si>
    <t>Terminal NOI Growth Rate (%)</t>
  </si>
  <si>
    <t>ADDITIONAL ASSUMPTIONS</t>
  </si>
  <si>
    <t>FV Adj — Investment Properties ($000s)</t>
  </si>
  <si>
    <t>Deferred Income Tax ($000s)</t>
  </si>
  <si>
    <t>LTV on Acquisitions (%)</t>
  </si>
  <si>
    <t>SS Growth Realization Factor (%)</t>
  </si>
  <si>
    <t>SS GROWTH RATE CALCULATOR (organic only — derives Row 23)</t>
  </si>
  <si>
    <t>Prior Year Revenue ($000s)</t>
  </si>
  <si>
    <t xml:space="preserve">  + Organic SS Growth ($000s) — from IS two-track</t>
  </si>
  <si>
    <t>Projected Revenue ($000s)</t>
  </si>
  <si>
    <t>Prior Year OpEx ($000s)</t>
  </si>
  <si>
    <t>Projected OpEx ($000s)</t>
  </si>
  <si>
    <t>NOI ACCUMULATION ENGINE</t>
  </si>
  <si>
    <t>Acquisitions roll into SS pool the following year</t>
  </si>
  <si>
    <t>Prior Year Total NOI ($000s)</t>
  </si>
  <si>
    <t>Prior total + half-year catch-up on acq/disp</t>
  </si>
  <si>
    <t>Organic NOI ($000s)</t>
  </si>
  <si>
    <t>+ Acquisition NOI — partial year ($000s)</t>
  </si>
  <si>
    <t>- Disposition NOI — partial year ($000s)</t>
  </si>
  <si>
    <t>Projected Total NOI ($000s)</t>
  </si>
  <si>
    <t>DERIVED REVENUE &amp; OPEX</t>
  </si>
  <si>
    <t>Held at FY2025 actual. Override to toggle.</t>
  </si>
  <si>
    <t>Derived Revenue ($000s)</t>
  </si>
  <si>
    <t>Derived OpEx ($000s)</t>
  </si>
  <si>
    <t>RF-AFFO MAINTENANCE CAPEX TOGGLE</t>
  </si>
  <si>
    <t>RF-AFFO Maintenance Rate (% of NOI)</t>
  </si>
  <si>
    <t>Industry benchmark: 15% of NOI (Green Street)</t>
  </si>
  <si>
    <t>RF-AFFO Maintenance Capex ($000s)</t>
  </si>
  <si>
    <t>CREDIT FACILITY CAPACITY CHECK</t>
  </si>
  <si>
    <t>CF Capacity ($000s)</t>
  </si>
  <si>
    <t>CF Balance — EoY ($000s)</t>
  </si>
  <si>
    <t>Headroom / (BREACH) ($000s)</t>
  </si>
  <si>
    <t>Breach Flag</t>
  </si>
  <si>
    <t>Operating Metrics — Segment Build</t>
  </si>
  <si>
    <t>Blue=hardcoded | Black=formula | Green=cross-sheet link</t>
  </si>
  <si>
    <t>SEGMENT NOI ($000s)</t>
  </si>
  <si>
    <t xml:space="preserve">  Atlantic (NS/NB/NL/PEI)</t>
  </si>
  <si>
    <t xml:space="preserve">  Ontario</t>
  </si>
  <si>
    <t>Total Segment NOI</t>
  </si>
  <si>
    <t xml:space="preserve">  Reconciliation to IS (method variance)</t>
  </si>
  <si>
    <t>SAME-PROPERTY PERFORMANCE</t>
  </si>
  <si>
    <t>Same-Property NOI ($000s) — per filing, pool varies</t>
  </si>
  <si>
    <t>Same-Property NOI Growth (%)</t>
  </si>
  <si>
    <t>OCCUPANCY &amp; RENTS</t>
  </si>
  <si>
    <t>Total Portfolio Occupancy (%)</t>
  </si>
  <si>
    <t>Avg Monthly Rent — Total Portfolio ($)</t>
  </si>
  <si>
    <t>Blended Lease Spread (%)</t>
  </si>
  <si>
    <t>New Lease Spread (%)</t>
  </si>
  <si>
    <t>Renewal Spread (%)</t>
  </si>
  <si>
    <t>Turnover Rate (%)</t>
  </si>
  <si>
    <t>SEGMENT NOI BREAKOUT ($000s)</t>
  </si>
  <si>
    <t xml:space="preserve">  Apartments</t>
  </si>
  <si>
    <t xml:space="preserve">  MHCs</t>
  </si>
  <si>
    <t xml:space="preserve">  Commercial</t>
  </si>
  <si>
    <t xml:space="preserve">  Total</t>
  </si>
  <si>
    <t xml:space="preserve">  Apt as % of Total NOI</t>
  </si>
  <si>
    <t>SEGMENT REVENUE ($000s)</t>
  </si>
  <si>
    <t xml:space="preserve">  Total (where disclosed)</t>
  </si>
  <si>
    <t>UNIT COUNTS (Year-End)</t>
  </si>
  <si>
    <t xml:space="preserve">  Apartment Units</t>
  </si>
  <si>
    <t xml:space="preserve">  MHC Sites</t>
  </si>
  <si>
    <t xml:space="preserve">  Total Doors</t>
  </si>
  <si>
    <t>NOI MARGINS (where revenue disclosed)</t>
  </si>
  <si>
    <t xml:space="preserve">  Apartment NOI Margin (%)</t>
  </si>
  <si>
    <t xml:space="preserve">  MHC NOI Margin (%)</t>
  </si>
  <si>
    <t xml:space="preserve">  Commercial NOI Margin (%)</t>
  </si>
  <si>
    <t>PER-DOOR METRICS</t>
  </si>
  <si>
    <t xml:space="preserve">  Apt NOI per Unit ($)</t>
  </si>
  <si>
    <t xml:space="preserve">  Apt Revenue per Unit ($)</t>
  </si>
  <si>
    <t xml:space="preserve">  MHC NOI per Site ($)</t>
  </si>
  <si>
    <t xml:space="preserve">  Total NOI per Door ($)</t>
  </si>
  <si>
    <t>SEGMENT SS NOI GROWTH (where disclosed)</t>
  </si>
  <si>
    <t xml:space="preserve">  Apartment SS NOI Growth (%)</t>
  </si>
  <si>
    <t xml:space="preserve">  MHC SS NOI Growth (%)</t>
  </si>
  <si>
    <t xml:space="preserve">  Commercial SS NOI Growth (%)</t>
  </si>
  <si>
    <t>Total Suites (= Total Doors above)</t>
  </si>
  <si>
    <t>LEVERAGE &amp; DEBT</t>
  </si>
  <si>
    <t>WA Mortgage Interest Rate (%)</t>
  </si>
  <si>
    <t>UNIT COUNT &amp; PER-UNIT ANALYSIS</t>
  </si>
  <si>
    <t>Revenue per Unit ($)</t>
  </si>
  <si>
    <t>NOI per Unit ($)</t>
  </si>
  <si>
    <t>GEOGRAPHIC NOI CONCENTRATION (FY2025)</t>
  </si>
  <si>
    <t xml:space="preserve">  Halifax</t>
  </si>
  <si>
    <t xml:space="preserve">  New Brunswick</t>
  </si>
  <si>
    <t xml:space="preserve">  Alberta</t>
  </si>
  <si>
    <t>SUITE REPOSITIONING PROGRAM</t>
  </si>
  <si>
    <t xml:space="preserve">  Units Repositioned</t>
  </si>
  <si>
    <t xml:space="preserve">  Avg Cost per Unit ($)</t>
  </si>
  <si>
    <t xml:space="preserve">  Total Repositioning Spend ($000s)</t>
  </si>
  <si>
    <t xml:space="preserve">  Unlevered ROI (%)</t>
  </si>
  <si>
    <t xml:space="preserve">  Avg Rental Increase on Repositioned Units (%)</t>
  </si>
  <si>
    <t xml:space="preserve">  Eligible Units Remaining (pipeline)</t>
  </si>
  <si>
    <t>NAMED PROJECT EXAMPLES (from earnings calls)</t>
  </si>
  <si>
    <t xml:space="preserve">  Garden Park (Halifax)</t>
  </si>
  <si>
    <t>$22K invest, $235/mo increase, 14% ROI (FY2018 call)</t>
  </si>
  <si>
    <t xml:space="preserve">  Parker Street (Dartmouth)</t>
  </si>
  <si>
    <t>$21K invest, $220/mo increase, 13% ROI (FY2018 call)</t>
  </si>
  <si>
    <t xml:space="preserve">  Spring Garden Terrace</t>
  </si>
  <si>
    <t>$18K invest, $230/mo increase, 20% ROI (FY2018 call)</t>
  </si>
  <si>
    <t xml:space="preserve">  Bronson Property (Ottawa)</t>
  </si>
  <si>
    <t>43 units, $31K/unit, 35% rent increase, 20% ROI (FY2020 call)</t>
  </si>
  <si>
    <t xml:space="preserve">  Calgary Spruce Grove</t>
  </si>
  <si>
    <t>$30K/unit budget, target $1,600-$1,800 rent (30-35% increase) (FY2015 call)</t>
  </si>
  <si>
    <t>FY2016 spend from AIF p.32 ($10,335K suite renovations). Unit count not disclosed.</t>
  </si>
  <si>
    <t>FY2018 ROI from earnings call p.6-7 (three named projects). Unit count and total spend not separately disclosed.</t>
  </si>
  <si>
    <t>FY2019 spend = "suite upgrades (repositioning &gt;$10K/unit)" line from AIF p.30 ($18,718K). 304 units, $25K avg, 13% ROI from AIF p.38 and earnings call p.6.</t>
  </si>
  <si>
    <t>FY2020: 495 units, $25K avg, 13% ROI, 24% rental increase from AIF p.39, p.6, p.41. Pipeline expanded to 5,000 units.</t>
  </si>
  <si>
    <t>FY2021: 551 units, $27.9K avg, 13% ROI from AIF p.2. Pipeline 5,500+ units (AIF p.9). 29.2% rental increase on unit turns (AIF p.20).</t>
  </si>
  <si>
    <t>FY2022: 617 units repositioned, 13% ROI from AIF p.43. Cost/unit and total spend not separately disclosed in extracted documents.</t>
  </si>
  <si>
    <t>FY2023-2024 spend is "suite renovations and repositionings" combined line from AIF p.45. ROI not disclosed for these years.</t>
  </si>
  <si>
    <t>FY2025: 263 units, 18% ROI from AIF p.44. $22.8M spend includes suite renovations and repositionings combined.</t>
  </si>
  <si>
    <t>FY2020 AIF p.41: "long-term reposition opportunity of ~5,000 additional units, est. $17.0M additional annualized revenue, $340M increase in NAV."</t>
  </si>
  <si>
    <t>ROI trend: 13-14% (FY2018-2022) → 18% (FY2025). Higher ROI likely reflects selectivity + widening rent gap from market growth.</t>
  </si>
  <si>
    <t>Volume trend: peaked at 617 (FY2022), declining to 263 (FY2025). Natural capacity constraint as best opportunities completed first.</t>
  </si>
  <si>
    <t>Consolidated Income Statement</t>
  </si>
  <si>
    <t>CAD $000s | Blue=hardcoded | Black=formula | Green=cross-sheet link</t>
  </si>
  <si>
    <t>Revenue</t>
  </si>
  <si>
    <t>Total Property Revenue</t>
  </si>
  <si>
    <t xml:space="preserve">  Rental Revenue</t>
  </si>
  <si>
    <t xml:space="preserve">  Property Expense Recoveries</t>
  </si>
  <si>
    <t xml:space="preserve">  Ancillary Revenue</t>
  </si>
  <si>
    <t>Operating Costs</t>
  </si>
  <si>
    <t>Realty Taxes</t>
  </si>
  <si>
    <t>Total Property Operating Expenses</t>
  </si>
  <si>
    <t>Net Operating Income</t>
  </si>
  <si>
    <t>Acquisition / (Disposition) NOI — memo only</t>
  </si>
  <si>
    <t>Below-NOI Items</t>
  </si>
  <si>
    <t>Other Income / Interest Income</t>
  </si>
  <si>
    <t>Restructuring Costs</t>
  </si>
  <si>
    <t>Unit-Based Compensation (net)</t>
  </si>
  <si>
    <t>EBITDA (NOI + Other - G&amp;A)</t>
  </si>
  <si>
    <t>Finance Costs &amp; Other</t>
  </si>
  <si>
    <t>Interest Expense (mortgages + facilities)</t>
  </si>
  <si>
    <t>FV Adj — Investment Properties</t>
  </si>
  <si>
    <t>FV Adj — Exchangeable Units</t>
  </si>
  <si>
    <t>FV Adj — Other / Convertible Deb</t>
  </si>
  <si>
    <t>Depreciation and Amortization</t>
  </si>
  <si>
    <t>Loss on Disposition of IP</t>
  </si>
  <si>
    <t>Other Finance Items</t>
  </si>
  <si>
    <t>Income Tax</t>
  </si>
  <si>
    <t>Current Income Tax</t>
  </si>
  <si>
    <t>Deferred Income Tax</t>
  </si>
  <si>
    <t>KEY METRICS</t>
  </si>
  <si>
    <t>FFO / AFFO RECONCILIATION</t>
  </si>
  <si>
    <t>FFO (REALPAC Definition)</t>
  </si>
  <si>
    <t>FFO per Diluted Unit ($)</t>
  </si>
  <si>
    <t>RF-AFFO (REIT Forensics Adjusted FFO)</t>
  </si>
  <si>
    <t>NOI</t>
  </si>
  <si>
    <t>Less: Cash G&amp;A</t>
  </si>
  <si>
    <t>Less: Cash Interest Expense</t>
  </si>
  <si>
    <t>Less: Current Income Tax</t>
  </si>
  <si>
    <t>Pre-Capex Cash Earnings</t>
  </si>
  <si>
    <t>Less: Economic Maintenance Capex</t>
  </si>
  <si>
    <t>RF-AFFO ($000s)</t>
  </si>
  <si>
    <t>PAYOUT RATIOS</t>
  </si>
  <si>
    <t xml:space="preserve">  1. Mgmt Maintenance (AFFO deduction)</t>
  </si>
  <si>
    <t xml:space="preserve">  2. Total Capex (CFS basis)</t>
  </si>
  <si>
    <t xml:space="preserve">  Capex as % of NOI</t>
  </si>
  <si>
    <t>FFO RECONCILIATION (REALPAC)</t>
  </si>
  <si>
    <t>+ FV Adj — Investment Properties</t>
  </si>
  <si>
    <t>+ FV Adj — Exchangeable Units</t>
  </si>
  <si>
    <t>+ FV Adj — Unit-Based Compensation</t>
  </si>
  <si>
    <t>+ Deferred Tax Expense / (Recovery)</t>
  </si>
  <si>
    <t>+ Restructuring Costs</t>
  </si>
  <si>
    <t>+ Interest on Exchangeable Units</t>
  </si>
  <si>
    <t>+ Loss on Dispositions</t>
  </si>
  <si>
    <t>+ Other Adjustments (Depn, Leases)</t>
  </si>
  <si>
    <t>FFO — Reconciled ($000s)</t>
  </si>
  <si>
    <t xml:space="preserve">  Variance vs. Reported (Row 50)</t>
  </si>
  <si>
    <t>AFFO (CO. REPORTED — REALPAC)</t>
  </si>
  <si>
    <t>FFO</t>
  </si>
  <si>
    <t>Less: Maintenance Capex (mgmt)</t>
  </si>
  <si>
    <t>+ Commercial SL Rent Adjustment</t>
  </si>
  <si>
    <t>Less: Commercial Leasing Costs</t>
  </si>
  <si>
    <t>AFFO ($000s)</t>
  </si>
  <si>
    <t>AFFO per Unit ($)</t>
  </si>
  <si>
    <t>GROWTH RATES &amp; ADDITIONAL PAYOUTS</t>
  </si>
  <si>
    <t>FFO/Unit Growth YoY (%)</t>
  </si>
  <si>
    <t>AFFO/Unit Growth YoY (%)</t>
  </si>
  <si>
    <t>RF-AFFO/Unit Growth YoY (%)</t>
  </si>
  <si>
    <t>AFFO Payout Ratio — Co. Reported (%)</t>
  </si>
  <si>
    <t>HISTORICAL ACQUISITION &amp; DISPOSITION REFERENCE</t>
  </si>
  <si>
    <t>Extraction-sourced. Calibrates forward Track A/B assumptions.</t>
  </si>
  <si>
    <t>ACQUISITIONS</t>
  </si>
  <si>
    <t xml:space="preserve">  CFS Acquisition Cost ($000s)</t>
  </si>
  <si>
    <t xml:space="preserve">  Gross Acquisition Cost ($000s)</t>
  </si>
  <si>
    <t xml:space="preserve">  Units Acquired</t>
  </si>
  <si>
    <t xml:space="preserve">  Price per Unit ($000s)</t>
  </si>
  <si>
    <t>DISPOSITIONS</t>
  </si>
  <si>
    <t xml:space="preserve">  Disposition Proceeds ($000s)</t>
  </si>
  <si>
    <t xml:space="preserve">  Gross Sale Price ($000s)</t>
  </si>
  <si>
    <t xml:space="preserve">  Units Disposed</t>
  </si>
  <si>
    <t>NET CAPITAL ACTIVITY</t>
  </si>
  <si>
    <t xml:space="preserve">  Net Investment ($000s)</t>
  </si>
  <si>
    <t xml:space="preserve">  Net Units Added/(Lost)</t>
  </si>
  <si>
    <t xml:space="preserve">  Acq $/Unit vs Disp $/Unit Spread</t>
  </si>
  <si>
    <t>FORWARD TWO-TRACK NOI ENGINE</t>
  </si>
  <si>
    <t>Projection columns only. Track A = existing grown at SS, net of dispositions. Track B = acquisition stub.</t>
  </si>
  <si>
    <t>TRACK A — EXISTING PORTFOLIO</t>
  </si>
  <si>
    <t xml:space="preserve">  Prior Year Total NOI ($000s)</t>
  </si>
  <si>
    <t xml:space="preserve">  SS NOI Growth Rate (%)</t>
  </si>
  <si>
    <t xml:space="preserve">  Organic Growth NOI ($000s)</t>
  </si>
  <si>
    <t xml:space="preserve">  Less: Disposition NOI Lost ($000s)</t>
  </si>
  <si>
    <t xml:space="preserve">  Track A NOI ($000s)</t>
  </si>
  <si>
    <t>TRACK B — ACQUISITIONS</t>
  </si>
  <si>
    <t xml:space="preserve">  Acquisition NOI ($000s) = Vol × Cap × 0.5</t>
  </si>
  <si>
    <t>TOTAL NOI — Two-Track ($000s)</t>
  </si>
  <si>
    <t>NTM NOI FOR VALUATION</t>
  </si>
  <si>
    <t xml:space="preserve">  Current Year Total NOI ($000s)</t>
  </si>
  <si>
    <t xml:space="preserve">  Next Year SS NOI Growth (%)</t>
  </si>
  <si>
    <t xml:space="preserve">  NTM Implied Cap Rate (%)</t>
  </si>
  <si>
    <t xml:space="preserve">  NTM vs IFRS Applied (bps)</t>
  </si>
  <si>
    <t>Consolidated Statement of Cash Flows</t>
  </si>
  <si>
    <t>Operating Activities</t>
  </si>
  <si>
    <t xml:space="preserve">  Add: FV Adj — Investment Properties</t>
  </si>
  <si>
    <t xml:space="preserve">  Add: FV Adj — Financial Instruments</t>
  </si>
  <si>
    <t xml:space="preserve">  Add: Unit-Based Compensation</t>
  </si>
  <si>
    <t xml:space="preserve">  Add: Deferred Income Tax</t>
  </si>
  <si>
    <t xml:space="preserve">  Add: Depreciation &amp; Amortization</t>
  </si>
  <si>
    <t xml:space="preserve">  Add: Loss on Disposition of IP</t>
  </si>
  <si>
    <t xml:space="preserve">  Add: Interest on Exchangeable Units</t>
  </si>
  <si>
    <t xml:space="preserve">  Add: Other Non-Cash / WC Changes</t>
  </si>
  <si>
    <t xml:space="preserve">  Items Related to Investing Activities</t>
  </si>
  <si>
    <t xml:space="preserve">  Items Related to Financing Activities</t>
  </si>
  <si>
    <t>Cash from Operating Activities</t>
  </si>
  <si>
    <t>CFO (per filings — check)</t>
  </si>
  <si>
    <t>Investing Activities</t>
  </si>
  <si>
    <t>Acquisitions (net of deposits)</t>
  </si>
  <si>
    <t>Disposition Proceeds (net)</t>
  </si>
  <si>
    <t>Cash from Investing Activities</t>
  </si>
  <si>
    <t>Financing Activities</t>
  </si>
  <si>
    <t>Mortgage Borrowings / Advances</t>
  </si>
  <si>
    <t>Lump-Sum Mortgage Repayments</t>
  </si>
  <si>
    <t>Scheduled Principal Repayments</t>
  </si>
  <si>
    <t>Distributions Paid to Unitholders</t>
  </si>
  <si>
    <t>Net Proceeds from Unit Issuance</t>
  </si>
  <si>
    <t>Unit Repurchases (NCIB)</t>
  </si>
  <si>
    <t>Net Credit Facility Draws/(Repayments)</t>
  </si>
  <si>
    <t>Construction Loan Activity (net)</t>
  </si>
  <si>
    <t>Other Financing Activity</t>
  </si>
  <si>
    <t>Cash Used in Financing Activities</t>
  </si>
  <si>
    <t>CFS-FCF &amp; DISTRIBUTION SUSTAINABILITY</t>
  </si>
  <si>
    <t>Less: Existing Portfolio Capex</t>
  </si>
  <si>
    <t>Memo: Scheduled Principal Repayment</t>
  </si>
  <si>
    <t>CFS-FCF (cash available for distributions)</t>
  </si>
  <si>
    <t>Cash Distributions ($000s)</t>
  </si>
  <si>
    <t>CFS-FCF Surplus/(Deficit) vs Distributions ($000s)</t>
  </si>
  <si>
    <t>CFS-FCF After Debt Service</t>
  </si>
  <si>
    <t>DISTRIBUTION FUNDING ANALYSIS</t>
  </si>
  <si>
    <t>Total Distributions Declared ($000s)</t>
  </si>
  <si>
    <t>CFS-FCF vs Total Declared ($000s)</t>
  </si>
  <si>
    <t xml:space="preserve">  Per Unit ($)</t>
  </si>
  <si>
    <t xml:space="preserve">  Payout Ratio (Declared basis) (%)</t>
  </si>
  <si>
    <t>CUMULATIVE ANALYSIS</t>
  </si>
  <si>
    <t>Cumulative CFS-FCF ($000s)</t>
  </si>
  <si>
    <t>Cumulative Total Distributions Declared ($000s)</t>
  </si>
  <si>
    <t>Cumulative Surplus/(Deficit) ($000s)</t>
  </si>
  <si>
    <t>CFS-FCF GROWTH</t>
  </si>
  <si>
    <t>CFS-FCF Growth YoY (%)</t>
  </si>
  <si>
    <t>CFS-FCF per Unit Growth YoY (%)</t>
  </si>
  <si>
    <t>CASH CONVERSION</t>
  </si>
  <si>
    <t>CFO as % of EBITDA</t>
  </si>
  <si>
    <t>CFS-FCF as % of FFO</t>
  </si>
  <si>
    <t>Capex Absorption (Capex / CFO) (%)</t>
  </si>
  <si>
    <t>Consolidated Balance Sheet</t>
  </si>
  <si>
    <t>As at December 31 | CAD $000s</t>
  </si>
  <si>
    <t>Non-Current Assets</t>
  </si>
  <si>
    <t>Investment Properties (Fair Value)</t>
  </si>
  <si>
    <t xml:space="preserve">  Other Non-Current Assets</t>
  </si>
  <si>
    <t>Other Current Assets</t>
  </si>
  <si>
    <t>Cash and Cash Equivalents</t>
  </si>
  <si>
    <t>Assets Held for Sale</t>
  </si>
  <si>
    <t>TOTAL ASSETS</t>
  </si>
  <si>
    <t>Liabilities</t>
  </si>
  <si>
    <t>Credit Facilities Payable</t>
  </si>
  <si>
    <t xml:space="preserve">  (CF Balance for Assumptions link)</t>
  </si>
  <si>
    <t xml:space="preserve">  Accounts Payable &amp; Accrued Liabilities</t>
  </si>
  <si>
    <t xml:space="preserve">  Exchangeable Units</t>
  </si>
  <si>
    <t xml:space="preserve">  Construction Loans</t>
  </si>
  <si>
    <t xml:space="preserve">  Deferred Income Tax Liability</t>
  </si>
  <si>
    <t xml:space="preserve">  Other Liabilities</t>
  </si>
  <si>
    <t>TOTAL LIABILITIES</t>
  </si>
  <si>
    <t xml:space="preserve">  Unit Capital</t>
  </si>
  <si>
    <t xml:space="preserve">  Retained Earnings</t>
  </si>
  <si>
    <t>DEBT &amp; VALUATION METRICS</t>
  </si>
  <si>
    <t>Net Debt ($000s)</t>
  </si>
  <si>
    <t>SEGMENT NAV BUILD</t>
  </si>
  <si>
    <t>Total NOI ($000s)</t>
  </si>
  <si>
    <t>Valuation Cap Rate — Applied (%)</t>
  </si>
  <si>
    <t>Gross Asset Value ($000s)</t>
  </si>
  <si>
    <t>Total Gross Asset Value ($000s)</t>
  </si>
  <si>
    <t>Less: Net Debt ($000s)</t>
  </si>
  <si>
    <t>Less: Other Liabilities ($000s)</t>
  </si>
  <si>
    <t>Plus: Non-Property Assets excl Cash ($000s)</t>
  </si>
  <si>
    <t>Net Asset Value ($000s)</t>
  </si>
  <si>
    <t>Units Outstanding (000s)</t>
  </si>
  <si>
    <t>NAV per Unit ($)</t>
  </si>
  <si>
    <t>IFRS NAV per Unit (Equity / Units)</t>
  </si>
  <si>
    <t>MULTI-TIER IMPLIED CAP RATE</t>
  </si>
  <si>
    <t>TIER 1: IFRS (NOI / IP)</t>
  </si>
  <si>
    <t>Equity Market Cap ($000s)</t>
  </si>
  <si>
    <t>Property EV ($000s)</t>
  </si>
  <si>
    <t>TIER 3: Market-Implied Cap Rate (NTM NOI)</t>
  </si>
  <si>
    <t>Premium/(Discount) to NAV</t>
  </si>
  <si>
    <t>NTM IMPLIED CAP RATE &amp; NAV SENSITIVITY</t>
  </si>
  <si>
    <t>Trailing Implied Cap Rate (Current NOI / IP)</t>
  </si>
  <si>
    <t xml:space="preserve">  NTM vs Applied (bps)</t>
  </si>
  <si>
    <t>NAV SENSITIVITY (FY2025, $000s NOI)</t>
  </si>
  <si>
    <t xml:space="preserve">  Cap Rate</t>
  </si>
  <si>
    <t>GAV ($000s)</t>
  </si>
  <si>
    <t>NAV ($000s)</t>
  </si>
  <si>
    <t>NAV/Unit ($)</t>
  </si>
  <si>
    <t xml:space="preserve">  4.00%</t>
  </si>
  <si>
    <t xml:space="preserve">  4.25%</t>
  </si>
  <si>
    <t xml:space="preserve">  4.50%</t>
  </si>
  <si>
    <t xml:space="preserve">  4.68% (applied)</t>
  </si>
  <si>
    <t xml:space="preserve">  4.75%</t>
  </si>
  <si>
    <t xml:space="preserve">  5.00%</t>
  </si>
  <si>
    <t xml:space="preserve">  5.25%</t>
  </si>
  <si>
    <t xml:space="preserve">  5.50%</t>
  </si>
  <si>
    <t>NAV GROWTH DECOMPOSITION</t>
  </si>
  <si>
    <t>Separates NOI-driven value creation from cap rate compression</t>
  </si>
  <si>
    <t>NAV/Unit Growth YoY (%)</t>
  </si>
  <si>
    <t xml:space="preserve">  From NOI Growth (cap rate held constant)</t>
  </si>
  <si>
    <t xml:space="preserve">  From Cap Rate Change (+ other BS effects)</t>
  </si>
  <si>
    <t xml:space="preserve">  Applied Cap Rate Change (bps YoY)</t>
  </si>
  <si>
    <t>IFRS TRACKING (projected at mgmt cap rate)</t>
  </si>
  <si>
    <t>IFRS Applied Cap Rate (%)</t>
  </si>
  <si>
    <t>IFRS IP ($000s)</t>
  </si>
  <si>
    <t>IFRS NAV ($000s)</t>
  </si>
  <si>
    <t>Analyst NAV per Unit ($) — at Row 89 Cap</t>
  </si>
  <si>
    <t>Return Profile</t>
  </si>
  <si>
    <t>Operating Expenses</t>
  </si>
  <si>
    <t>G&amp;A</t>
  </si>
  <si>
    <t>AFFO (co. reported)</t>
  </si>
  <si>
    <t>CASH FLOW ($000s)</t>
  </si>
  <si>
    <t>Distributions Declared</t>
  </si>
  <si>
    <t>CFS-FCF Surplus / (Deficit) vs Distributions</t>
  </si>
  <si>
    <t>BALANCE SHEET ($000s)</t>
  </si>
  <si>
    <t>Mortgages</t>
  </si>
  <si>
    <t>Total Debt</t>
  </si>
  <si>
    <t>PER-UNIT VIEW ($)</t>
  </si>
  <si>
    <t>FFO per Unit</t>
  </si>
  <si>
    <t>AFFO per Unit</t>
  </si>
  <si>
    <t>RF-AFFO per Unit</t>
  </si>
  <si>
    <t>CFS-FCF per Unit</t>
  </si>
  <si>
    <t>Distribution per Unit</t>
  </si>
  <si>
    <t>IFRS NAV per Unit</t>
  </si>
  <si>
    <t>Market Price</t>
  </si>
  <si>
    <t>VALUATION &amp; RATIOS</t>
  </si>
  <si>
    <t>Applied Cap Rate (%)</t>
  </si>
  <si>
    <t>Premium / (Discount) to NAV (%)</t>
  </si>
  <si>
    <t>AFFO Payout Ratio (%)</t>
  </si>
  <si>
    <t>WA Mortgage Rate (%)</t>
  </si>
  <si>
    <t>HISTORICAL RETURNS</t>
  </si>
  <si>
    <t>NAV Basis</t>
  </si>
  <si>
    <t xml:space="preserve">  Beginning NAV/Unit ($)</t>
  </si>
  <si>
    <t xml:space="preserve">  Ending NAV/Unit ($)</t>
  </si>
  <si>
    <t xml:space="preserve">  Distribution ($)</t>
  </si>
  <si>
    <t xml:space="preserve">  Total Return (%)</t>
  </si>
  <si>
    <t xml:space="preserve">    Cash Yield (%)</t>
  </si>
  <si>
    <t xml:space="preserve">    SS NOI-Driven NAV Growth (%)</t>
  </si>
  <si>
    <t xml:space="preserve">    Cap Rate &amp; Other Effects (%)</t>
  </si>
  <si>
    <t xml:space="preserve">  Cumulative Return (%)</t>
  </si>
  <si>
    <t xml:space="preserve">  CAGR (%)</t>
  </si>
  <si>
    <t>Market Price Basis</t>
  </si>
  <si>
    <t>Full-Cycle IRR (FY2016 → FY2025)</t>
  </si>
  <si>
    <t xml:space="preserve">  NAV Basis</t>
  </si>
  <si>
    <t xml:space="preserve">    IRR (%)</t>
  </si>
  <si>
    <t xml:space="preserve">  Market Price Basis</t>
  </si>
  <si>
    <t>FORWARD BASE CASE</t>
  </si>
  <si>
    <t>Current structure. Current distribution. DRIP on. No acquisitions. Cap rate flat.</t>
  </si>
  <si>
    <t>Entry</t>
  </si>
  <si>
    <t xml:space="preserve">  Market Price ($)</t>
  </si>
  <si>
    <t xml:space="preserve">  IFRS NAV per Unit ($)</t>
  </si>
  <si>
    <t xml:space="preserve">  Premium (Discount) to NAV (%)</t>
  </si>
  <si>
    <t xml:space="preserve">  Analyst NAV per Unit ($)</t>
  </si>
  <si>
    <t>NAV Basis Returns</t>
  </si>
  <si>
    <t xml:space="preserve">    NAV Growth (%)</t>
  </si>
  <si>
    <t>EXIT ASSUMPTIONS</t>
  </si>
  <si>
    <t xml:space="preserve">  Assumed Premium/(Discount) to NAV (%)</t>
  </si>
  <si>
    <t xml:space="preserve">  Implied Exit Price per Unit ($)</t>
  </si>
  <si>
    <t>FROM MARKET PRICE ENTRY — DISCOUNT PERSISTS</t>
  </si>
  <si>
    <t xml:space="preserve">  YoY Return (%)</t>
  </si>
  <si>
    <t>FROM MARKET PRICE ENTRY — DISCOUNT CLOSES (exit at NAV)</t>
  </si>
  <si>
    <t>BEAR CASE — HISTORICAL VALUE LEAKAGE CONTINUES</t>
  </si>
  <si>
    <t xml:space="preserve">  Historical Amplification Gap (bps)</t>
  </si>
  <si>
    <t>Distribution Yield on Entry Price (%)</t>
  </si>
  <si>
    <t>WHAT DRIVES THE BASE CASE</t>
  </si>
  <si>
    <t>DRIP Dilution — Unit Growth (%)</t>
  </si>
  <si>
    <t>Debt Maturity Profile</t>
  </si>
  <si>
    <t>CAD $000s | As at December 31, 2025</t>
  </si>
  <si>
    <t>Maturity Year</t>
  </si>
  <si>
    <t>Principal ($000s)</t>
  </si>
  <si>
    <t>WA Rate (%)</t>
  </si>
  <si>
    <t>% of Total</t>
  </si>
  <si>
    <t>2031+</t>
  </si>
  <si>
    <t>Total</t>
  </si>
  <si>
    <t>Development Pipeline</t>
  </si>
  <si>
    <t>INVESTMENT PROPERTIES UNDER CONSTRUCTION ($000s)</t>
  </si>
  <si>
    <t>IPUC — Beginning of Year</t>
  </si>
  <si>
    <t xml:space="preserve">  + Development Spending (CFS)</t>
  </si>
  <si>
    <t xml:space="preserve">  + Land Transfers to IPUC</t>
  </si>
  <si>
    <t xml:space="preserve">  + Capitalized Interest</t>
  </si>
  <si>
    <t xml:space="preserve">  − Transfers to Stabilized IP (completions)</t>
  </si>
  <si>
    <t xml:space="preserve">  ± FV Adjustments / Other</t>
  </si>
  <si>
    <t>IPUC — End of Year</t>
  </si>
  <si>
    <t xml:space="preserve">  Reported IPUC (verification)</t>
  </si>
  <si>
    <t xml:space="preserve">  Check (should = 0)</t>
  </si>
  <si>
    <t>LAND FOR DEVELOPMENT ($000s)</t>
  </si>
  <si>
    <t>Land — End of Year</t>
  </si>
  <si>
    <t>TOTAL DEVELOPMENT CAPITAL ($000s)</t>
  </si>
  <si>
    <t>IPUC</t>
  </si>
  <si>
    <t>Land for Development</t>
  </si>
  <si>
    <t>Total Development Capital</t>
  </si>
  <si>
    <t>As % of Total IP</t>
  </si>
  <si>
    <t>DEVELOPMENT SPENDING — CFS ($000s)</t>
  </si>
  <si>
    <t>Development of Investment Properties</t>
  </si>
  <si>
    <t>Cumulative (from FY2016)</t>
  </si>
  <si>
    <t>COMPLETIONS &amp; YIELD ANALYSIS</t>
  </si>
  <si>
    <t>Transfers to Stabilized IP ($000s)</t>
  </si>
  <si>
    <t>Cumulative Completions ($000s)</t>
  </si>
  <si>
    <t>Cumulative Development Spend ($000s)</t>
  </si>
  <si>
    <t>NAMED PROJECTS (from disclosures)</t>
  </si>
  <si>
    <t>The Alexander (Halifax)</t>
  </si>
  <si>
    <t>21-storey, ~5.5% dev yield, completed Q1 2018</t>
  </si>
  <si>
    <t>Cambridge</t>
  </si>
  <si>
    <t>93 units, $25M budget</t>
  </si>
  <si>
    <t>Charlottetown (Shorefront)</t>
  </si>
  <si>
    <t>78 units, $20.8M, 5.6% yield</t>
  </si>
  <si>
    <t>The Frontier</t>
  </si>
  <si>
    <t>228 units, completed June 2019</t>
  </si>
  <si>
    <t>The Kay (Mississauga)</t>
  </si>
  <si>
    <t>128 units, $56M, ~5% all-cash yield</t>
  </si>
  <si>
    <t>The Carrick</t>
  </si>
  <si>
    <t>139 units, completed July 2025, $88.3M cost</t>
  </si>
  <si>
    <t>Future Pipeline</t>
  </si>
  <si>
    <t>3,766 units potential (as of FY2021 disclosure)</t>
  </si>
  <si>
    <t>DEVELOPMENT YIELD BENCHMARKS</t>
  </si>
  <si>
    <t>Disclosed yields: 5.0% - 5.6%</t>
  </si>
  <si>
    <t>vs Acquisition cap rates: ~5.0%</t>
  </si>
  <si>
    <t>vs IFRS applied cap rate: 4.68% (FY2025)</t>
  </si>
  <si>
    <t>Development spread to applied cap: +30 to +90bps</t>
  </si>
  <si>
    <t>NOTES</t>
  </si>
  <si>
    <t>FY2017 development spending derived from rollforward — extraction gap.</t>
  </si>
  <si>
    <t>FY2016-2017 land for development not separately disclosed in extracted documents.</t>
  </si>
  <si>
    <t>FV Adjustments / Other is a plug to reconcile reported IPUC balance.</t>
  </si>
  <si>
    <t>Capitalized interest only disclosed in FY2018 notes ($3.2M). Likely present in other years.</t>
  </si>
  <si>
    <t>What Would No Externally Funded Growth Have Earned?</t>
  </si>
  <si>
    <t>Same portfolio, same leverage, same rates. No acquisitions, no equity raises, no buybacks.</t>
  </si>
  <si>
    <t>CASH FLOW PRIORITY</t>
  </si>
  <si>
    <t xml:space="preserve">  1 = Pay distributions    2 = Pay down debt    3 = Maintain starting leverage</t>
  </si>
  <si>
    <t>STARTING POSITION — FY2016 ACTUAL ($000s)</t>
  </si>
  <si>
    <t>Other Assets</t>
  </si>
  <si>
    <t>Other Liabilities</t>
  </si>
  <si>
    <t>Equity</t>
  </si>
  <si>
    <t>Units Outstanding (000s) — fixed throughout</t>
  </si>
  <si>
    <t>Cash</t>
  </si>
  <si>
    <t>Starting ND / EBITDA (x)</t>
  </si>
  <si>
    <t>ASSUMPTIONS — ALL LINKED TO ACTUALS</t>
  </si>
  <si>
    <t>Total Capex as % of NOI</t>
  </si>
  <si>
    <t>Mgmt Maintenance Capex per Unit ($)</t>
  </si>
  <si>
    <t>G&amp;A as % of NOI (held at FY2016 ratio)</t>
  </si>
  <si>
    <t>Less: G&amp;A</t>
  </si>
  <si>
    <t>Less: Interest Expense</t>
  </si>
  <si>
    <t>Less: Maintenance Capex</t>
  </si>
  <si>
    <t>AFFO</t>
  </si>
  <si>
    <t>Less: Total Capex</t>
  </si>
  <si>
    <t>Free Cash Flow</t>
  </si>
  <si>
    <t>DEBT &amp; DISTRIBUTIONS ($000s)</t>
  </si>
  <si>
    <t>Amortization Period (years remaining)</t>
  </si>
  <si>
    <t>Debt — Beginning of Year</t>
  </si>
  <si>
    <t>Scheduled Amortization</t>
  </si>
  <si>
    <t>Residual Cash (FCF − Amortization)</t>
  </si>
  <si>
    <t>Target Debt (mode 3: maintain starting leverage)</t>
  </si>
  <si>
    <t>Distribution Paid</t>
  </si>
  <si>
    <t>Additional Debt Paydown</t>
  </si>
  <si>
    <t>Debt — End of Year</t>
  </si>
  <si>
    <t>Investment Properties (NOI / Cap Rate)</t>
  </si>
  <si>
    <t>Other Assets (held at FY2016)</t>
  </si>
  <si>
    <t>Debt</t>
  </si>
  <si>
    <t>Other Liabilities (held at FY2016)</t>
  </si>
  <si>
    <t>Net Asset Value</t>
  </si>
  <si>
    <t>PER-UNIT VIEW</t>
  </si>
  <si>
    <t>RETURNS</t>
  </si>
  <si>
    <t>Beginning NAV/Unit ($)</t>
  </si>
  <si>
    <t>Year-over-Year Total Return (%)</t>
  </si>
  <si>
    <t xml:space="preserve">  Cash Yield (%)</t>
  </si>
  <si>
    <t xml:space="preserve">  NAV Appreciation (%)</t>
  </si>
  <si>
    <t>Cumulative Return (%)</t>
  </si>
  <si>
    <t>CAGR (%)</t>
  </si>
  <si>
    <t>Full-Cycle IRR</t>
  </si>
  <si>
    <t xml:space="preserve">  Entry at FY2016 NAV, exit at FY2025 NAV + final distribution</t>
  </si>
  <si>
    <t xml:space="preserve">  IRR (%)</t>
  </si>
  <si>
    <t>SIDE BY SIDE — SCENARIO vs KILLAM ACTUAL</t>
  </si>
  <si>
    <t xml:space="preserve">  Scenario</t>
  </si>
  <si>
    <t xml:space="preserve">  Killam Actual</t>
  </si>
  <si>
    <t xml:space="preserve">  Difference ($)</t>
  </si>
  <si>
    <t>Killam Actual IRR</t>
  </si>
  <si>
    <t xml:space="preserve">  Entry at FY2016 IFRS NAV, exit at FY2025 IFRS NAV + final distribution</t>
  </si>
  <si>
    <t>IRR Difference (bps)</t>
  </si>
  <si>
    <t>GROWTH RATE COMPARISON (CAGR from FY2016)</t>
  </si>
  <si>
    <t>FFO per Unit CAGR (%)</t>
  </si>
  <si>
    <t xml:space="preserve">  Gap (bps)</t>
  </si>
  <si>
    <t>AFFO per Unit CAGR (%)</t>
  </si>
  <si>
    <t>NAV per Unit CAGR (%)</t>
  </si>
  <si>
    <t>FULL-CYCLE VERDICT (FY2016 → FY2025)</t>
  </si>
  <si>
    <t xml:space="preserve">  Scenario IRR (%)</t>
  </si>
  <si>
    <t xml:space="preserve">  Killam Actual IRR (%)</t>
  </si>
  <si>
    <t xml:space="preserve">  IRR Difference (bps)</t>
  </si>
  <si>
    <t xml:space="preserve">  Scenario FFO/Unit CAGR (%)</t>
  </si>
  <si>
    <t xml:space="preserve">  Actual FFO/Unit CAGR (%)</t>
  </si>
  <si>
    <t xml:space="preserve">  Scenario Ending ND/EBITDA (x)</t>
  </si>
  <si>
    <t xml:space="preserve">  Actual Ending ND/EBITDA (x)</t>
  </si>
  <si>
    <t>PARALLEL: DELEVERAGE SCENARIO (all FCF to debt paydown, zero distributions)</t>
  </si>
  <si>
    <t>Runs independently of toggle above. EBITDA and Capex from main model.</t>
  </si>
  <si>
    <t>Debt — Beginning of Year ($000s)</t>
  </si>
  <si>
    <t>Interest Expense ($000s)</t>
  </si>
  <si>
    <t>FFO ($000s)</t>
  </si>
  <si>
    <t>Free Cash Flow ($000s)</t>
  </si>
  <si>
    <t>Debt — End of Year ($000s)</t>
  </si>
  <si>
    <t>Investment Properties ($000s)</t>
  </si>
  <si>
    <t>Per-Unit Metrics</t>
  </si>
  <si>
    <t>IRR — Deleverage Scenario</t>
  </si>
  <si>
    <t xml:space="preserve">  Cash flows (zero distributions, exit at NAV)</t>
  </si>
  <si>
    <t>SIDE BY SIDE — TWO SCENARIOS vs ACTUAL</t>
  </si>
  <si>
    <t>Toggle Scenario</t>
  </si>
  <si>
    <t>IRR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</si>
</sst>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\$#,##0.00;&quot;($&quot;#,##0.00\);\-"/>
    <numFmt numFmtId="165" formatCode="0.0%;\(0.0%\);\-"/>
    <numFmt numFmtId="166" formatCode="#,##0;\(#,##0\);\-"/>
    <numFmt numFmtId="167" formatCode="0.0\x;\(0.0&quot;x)&quot;;\-"/>
    <numFmt numFmtId="168" formatCode="0.0%;\-0.0%;\-"/>
    <numFmt numFmtId="169" formatCode="\$#,##0;&quot;($&quot;#,##0\);\-"/>
    <numFmt numFmtId="170" formatCode="\+#,##0;\-#,##0;\-"/>
    <numFmt numFmtId="171" formatCode="0.0\x"/>
    <numFmt numFmtId="172" formatCode="0.0%"/>
    <numFmt numFmtId="173" formatCode="0.00\x"/>
    <numFmt numFmtId="174" formatCode="\$#,##0.00"/>
    <numFmt numFmtId="175" formatCode="\$#,##0"/>
    <numFmt numFmtId="176" formatCode="0.00%;\-0.00%;\-"/>
    <numFmt numFmtId="177" formatCode="_(* #,##0_);_(* \(#,##0\);_(* \-??_);_(@_)"/>
    <numFmt numFmtId="178" formatCode="0.0"/>
  </numFmts>
  <fonts count="15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1"/>
      <name val="Cambria"/>
      <family val="1"/>
      <charset val="1"/>
    </font>
    <font>
      <sz val="10"/>
      <color rgb="FF000000"/>
      <name val="Arial"/>
      <family val="2"/>
      <charset val="1"/>
    </font>
    <font>
      <sz val="10"/>
      <color rgb="FF008000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b/>
      <sz val="11"/>
      <color theme="1"/>
      <name val="Calibri"/>
      <family val="2"/>
      <charset val="1"/>
    </font>
    <font>
      <i/>
      <sz val="10"/>
      <color rgb="FF666666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i/>
      <sz val="9"/>
      <color rgb="FFFF0000"/>
      <name val="Calibri"/>
      <family val="2"/>
      <charset val="1"/>
    </font>
    <font>
      <sz val="11"/>
      <color rgb="FF0000FF"/>
      <name val="Cambria"/>
      <family val="1"/>
      <charset val="1"/>
    </font>
    <font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166" fontId="0" fillId="0" borderId="0" xfId="0" applyNumberFormat="1"/>
    <xf numFmtId="167" fontId="0" fillId="0" borderId="0" xfId="0" applyNumberFormat="1"/>
    <xf numFmtId="166" fontId="4" fillId="0" borderId="0" xfId="0" applyNumberFormat="1" applyFont="1"/>
    <xf numFmtId="165" fontId="4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168" fontId="4" fillId="0" borderId="0" xfId="0" applyNumberFormat="1" applyFont="1"/>
    <xf numFmtId="10" fontId="4" fillId="0" borderId="0" xfId="0" applyNumberFormat="1" applyFont="1"/>
    <xf numFmtId="169" fontId="0" fillId="0" borderId="0" xfId="0" applyNumberFormat="1"/>
    <xf numFmtId="0" fontId="6" fillId="0" borderId="0" xfId="0" applyFont="1"/>
    <xf numFmtId="164" fontId="4" fillId="0" borderId="0" xfId="0" applyNumberFormat="1" applyFont="1"/>
    <xf numFmtId="168" fontId="3" fillId="0" borderId="0" xfId="0" applyNumberFormat="1" applyFont="1"/>
    <xf numFmtId="170" fontId="5" fillId="0" borderId="0" xfId="0" applyNumberFormat="1" applyFont="1"/>
    <xf numFmtId="166" fontId="3" fillId="0" borderId="0" xfId="0" applyNumberFormat="1" applyFont="1"/>
    <xf numFmtId="166" fontId="6" fillId="0" borderId="0" xfId="0" applyNumberFormat="1" applyFont="1"/>
    <xf numFmtId="170" fontId="4" fillId="0" borderId="0" xfId="0" applyNumberFormat="1" applyFont="1"/>
    <xf numFmtId="171" fontId="4" fillId="0" borderId="0" xfId="0" applyNumberFormat="1" applyFont="1"/>
    <xf numFmtId="3" fontId="3" fillId="0" borderId="0" xfId="0" applyNumberFormat="1" applyFont="1"/>
    <xf numFmtId="0" fontId="7" fillId="0" borderId="0" xfId="0" applyFont="1"/>
    <xf numFmtId="168" fontId="0" fillId="0" borderId="0" xfId="0" applyNumberFormat="1"/>
    <xf numFmtId="0" fontId="8" fillId="0" borderId="0" xfId="0" applyFont="1"/>
    <xf numFmtId="0" fontId="9" fillId="0" borderId="0" xfId="0" applyFont="1"/>
    <xf numFmtId="172" fontId="10" fillId="0" borderId="0" xfId="0" applyNumberFormat="1" applyFont="1"/>
    <xf numFmtId="0" fontId="10" fillId="0" borderId="0" xfId="0" applyFont="1"/>
    <xf numFmtId="173" fontId="10" fillId="0" borderId="0" xfId="0" applyNumberFormat="1" applyFont="1"/>
    <xf numFmtId="1" fontId="10" fillId="0" borderId="0" xfId="0" applyNumberFormat="1" applyFont="1"/>
    <xf numFmtId="174" fontId="10" fillId="0" borderId="0" xfId="0" applyNumberFormat="1" applyFont="1"/>
    <xf numFmtId="0" fontId="11" fillId="0" borderId="0" xfId="0" applyFont="1"/>
    <xf numFmtId="165" fontId="12" fillId="0" borderId="0" xfId="0" applyNumberFormat="1" applyFont="1"/>
    <xf numFmtId="169" fontId="12" fillId="0" borderId="0" xfId="0" applyNumberFormat="1" applyFont="1"/>
    <xf numFmtId="166" fontId="12" fillId="0" borderId="0" xfId="0" applyNumberFormat="1" applyFont="1"/>
    <xf numFmtId="175" fontId="13" fillId="3" borderId="0" xfId="0" applyNumberFormat="1" applyFont="1" applyFill="1"/>
    <xf numFmtId="164" fontId="12" fillId="0" borderId="0" xfId="0" applyNumberFormat="1" applyFont="1"/>
    <xf numFmtId="10" fontId="13" fillId="3" borderId="0" xfId="0" applyNumberFormat="1" applyFont="1" applyFill="1"/>
    <xf numFmtId="168" fontId="13" fillId="0" borderId="0" xfId="0" applyNumberFormat="1" applyFont="1"/>
    <xf numFmtId="166" fontId="13" fillId="0" borderId="0" xfId="0" applyNumberFormat="1" applyFont="1"/>
    <xf numFmtId="172" fontId="4" fillId="0" borderId="0" xfId="0" applyNumberFormat="1" applyFont="1"/>
    <xf numFmtId="3" fontId="13" fillId="0" borderId="0" xfId="0" applyNumberFormat="1" applyFont="1"/>
    <xf numFmtId="172" fontId="3" fillId="0" borderId="0" xfId="0" applyNumberFormat="1" applyFont="1"/>
    <xf numFmtId="169" fontId="3" fillId="0" borderId="0" xfId="0" applyNumberFormat="1" applyFont="1"/>
    <xf numFmtId="169" fontId="4" fillId="0" borderId="0" xfId="0" applyNumberFormat="1" applyFont="1"/>
    <xf numFmtId="172" fontId="1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175" fontId="3" fillId="0" borderId="0" xfId="0" applyNumberFormat="1" applyFont="1"/>
    <xf numFmtId="176" fontId="5" fillId="0" borderId="0" xfId="0" applyNumberFormat="1" applyFont="1"/>
    <xf numFmtId="10" fontId="5" fillId="0" borderId="0" xfId="0" applyNumberFormat="1" applyFont="1"/>
    <xf numFmtId="0" fontId="2" fillId="0" borderId="0" xfId="0" applyFont="1" applyAlignment="1">
      <alignment horizontal="center"/>
    </xf>
    <xf numFmtId="168" fontId="5" fillId="0" borderId="0" xfId="0" applyNumberFormat="1" applyFont="1"/>
    <xf numFmtId="172" fontId="5" fillId="0" borderId="0" xfId="0" applyNumberFormat="1" applyFont="1"/>
    <xf numFmtId="0" fontId="12" fillId="0" borderId="0" xfId="0" applyFont="1"/>
    <xf numFmtId="0" fontId="5" fillId="0" borderId="0" xfId="0" applyFont="1" applyAlignment="1">
      <alignment horizontal="center"/>
    </xf>
    <xf numFmtId="177" fontId="14" fillId="4" borderId="0" xfId="0" applyNumberFormat="1" applyFont="1" applyFill="1"/>
    <xf numFmtId="10" fontId="13" fillId="0" borderId="0" xfId="0" applyNumberFormat="1" applyFont="1"/>
    <xf numFmtId="10" fontId="3" fillId="0" borderId="0" xfId="0" applyNumberFormat="1" applyFont="1"/>
    <xf numFmtId="175" fontId="4" fillId="0" borderId="0" xfId="0" applyNumberFormat="1" applyFont="1"/>
    <xf numFmtId="171" fontId="3" fillId="0" borderId="0" xfId="0" applyNumberFormat="1" applyFont="1"/>
    <xf numFmtId="166" fontId="13" fillId="3" borderId="0" xfId="0" applyNumberFormat="1" applyFont="1" applyFill="1"/>
    <xf numFmtId="1" fontId="3" fillId="0" borderId="0" xfId="0" applyNumberFormat="1" applyFont="1"/>
    <xf numFmtId="178" fontId="5" fillId="0" borderId="0" xfId="0" applyNumberFormat="1" applyFont="1"/>
    <xf numFmtId="17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3"/>
  <sheetViews>
    <sheetView showGridLines="0" tabSelected="1" topLeftCell="A40" zoomScaleNormal="100" workbookViewId="0">
      <selection activeCell="L70" sqref="L70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t="s">
        <v>0</v>
      </c>
    </row>
    <row r="2" spans="1:16" ht="15" customHeight="1" x14ac:dyDescent="0.2">
      <c r="A2" t="s">
        <v>1</v>
      </c>
    </row>
    <row r="3" spans="1:16" ht="15" customHeight="1" x14ac:dyDescent="0.2">
      <c r="A3" t="s">
        <v>2</v>
      </c>
    </row>
    <row r="5" spans="1:16" ht="1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7" spans="1:16" ht="15" customHeight="1" x14ac:dyDescent="0.2">
      <c r="A7" s="2" t="s">
        <v>18</v>
      </c>
    </row>
    <row r="8" spans="1:16" ht="15" customHeight="1" x14ac:dyDescent="0.2">
      <c r="A8" t="s">
        <v>19</v>
      </c>
      <c r="B8" s="3">
        <f>BS!K62</f>
        <v>16.239999999999998</v>
      </c>
    </row>
    <row r="9" spans="1:16" ht="15" customHeight="1" x14ac:dyDescent="0.2">
      <c r="A9" t="s">
        <v>20</v>
      </c>
      <c r="B9" s="3">
        <f>BS!K58</f>
        <v>25.191207948778466</v>
      </c>
    </row>
    <row r="10" spans="1:16" ht="15" customHeight="1" x14ac:dyDescent="0.2">
      <c r="A10" t="s">
        <v>21</v>
      </c>
      <c r="B10" s="4">
        <f>BS!K67</f>
        <v>-0.35533063626718686</v>
      </c>
    </row>
    <row r="11" spans="1:16" ht="15" customHeight="1" x14ac:dyDescent="0.2">
      <c r="A11" s="5" t="s">
        <v>22</v>
      </c>
      <c r="B11" s="6">
        <f>Ops!K41</f>
        <v>17853</v>
      </c>
    </row>
    <row r="12" spans="1:16" ht="15" customHeight="1" x14ac:dyDescent="0.2">
      <c r="A12" s="5" t="s">
        <v>23</v>
      </c>
      <c r="B12" s="6">
        <f>Ops!K42</f>
        <v>5750</v>
      </c>
    </row>
    <row r="13" spans="1:16" ht="15" customHeight="1" x14ac:dyDescent="0.2">
      <c r="A13" s="7" t="s">
        <v>24</v>
      </c>
      <c r="B13" s="8">
        <f>B11+B12</f>
        <v>23603</v>
      </c>
    </row>
    <row r="14" spans="1:16" ht="15" customHeight="1" x14ac:dyDescent="0.2">
      <c r="A14" s="5" t="s">
        <v>25</v>
      </c>
    </row>
    <row r="15" spans="1:16" ht="15" customHeight="1" x14ac:dyDescent="0.2">
      <c r="A15" s="2" t="s">
        <v>26</v>
      </c>
    </row>
    <row r="16" spans="1:16" ht="15" customHeight="1" x14ac:dyDescent="0.2">
      <c r="A16" t="s">
        <v>27</v>
      </c>
      <c r="B16" s="9">
        <f>IS!B8</f>
        <v>175269</v>
      </c>
      <c r="C16" s="9">
        <f>IS!C8</f>
        <v>187377</v>
      </c>
      <c r="D16" s="9">
        <f>IS!D8</f>
        <v>215959</v>
      </c>
      <c r="E16" s="9">
        <f>IS!E8</f>
        <v>241749</v>
      </c>
      <c r="F16" s="9">
        <f>IS!F8</f>
        <v>261690</v>
      </c>
      <c r="G16" s="9">
        <f>IS!G8</f>
        <v>290917</v>
      </c>
      <c r="H16" s="9">
        <f>IS!H8</f>
        <v>328847</v>
      </c>
      <c r="I16" s="9">
        <f>IS!I8</f>
        <v>348150</v>
      </c>
      <c r="J16" s="9">
        <f>IS!J8</f>
        <v>364650</v>
      </c>
      <c r="K16" s="9">
        <f>IS!K8</f>
        <v>383401</v>
      </c>
      <c r="L16" s="9">
        <f>IS!L8</f>
        <v>394570.10296124098</v>
      </c>
      <c r="M16" s="9">
        <f>IS!M8</f>
        <v>406064.5780697054</v>
      </c>
      <c r="N16" s="9">
        <f>IS!N8</f>
        <v>417893.90382280614</v>
      </c>
      <c r="O16" s="9">
        <f>IS!O8</f>
        <v>430067.83483656665</v>
      </c>
      <c r="P16" s="9">
        <f>IS!P8</f>
        <v>442596.40988919302</v>
      </c>
    </row>
    <row r="17" spans="1:16" ht="15" customHeight="1" x14ac:dyDescent="0.2">
      <c r="A17" t="s">
        <v>28</v>
      </c>
      <c r="B17" s="9">
        <f>IS!B16</f>
        <v>-69845</v>
      </c>
      <c r="C17" s="9">
        <f>IS!C16</f>
        <v>-72157</v>
      </c>
      <c r="D17" s="9">
        <f>IS!D16</f>
        <v>-80247</v>
      </c>
      <c r="E17" s="9">
        <f>IS!E16</f>
        <v>-89413</v>
      </c>
      <c r="F17" s="9">
        <f>IS!F16</f>
        <v>-97028</v>
      </c>
      <c r="G17" s="9">
        <f>IS!G16</f>
        <v>-107682</v>
      </c>
      <c r="H17" s="9">
        <f>IS!H16</f>
        <v>-121935</v>
      </c>
      <c r="I17" s="9">
        <f>IS!I16</f>
        <v>-124107</v>
      </c>
      <c r="J17" s="9">
        <f>IS!J16</f>
        <v>-124169</v>
      </c>
      <c r="K17" s="9">
        <f>IS!K16</f>
        <v>-128573</v>
      </c>
      <c r="L17" s="9">
        <f>IS!L16</f>
        <v>-132318.54337374092</v>
      </c>
      <c r="M17" s="9">
        <f>IS!M16</f>
        <v>-136173.19985121646</v>
      </c>
      <c r="N17" s="9">
        <f>IS!N16</f>
        <v>-140140.14803354623</v>
      </c>
      <c r="O17" s="9">
        <f>IS!O16</f>
        <v>-144222.65911784762</v>
      </c>
      <c r="P17" s="9">
        <f>IS!P16</f>
        <v>-148424.09959463647</v>
      </c>
    </row>
    <row r="18" spans="1:16" ht="15" customHeight="1" x14ac:dyDescent="0.2">
      <c r="A18" t="s">
        <v>29</v>
      </c>
      <c r="B18" s="9">
        <f>IS!B18</f>
        <v>105424</v>
      </c>
      <c r="C18" s="9">
        <f>IS!C18</f>
        <v>115220</v>
      </c>
      <c r="D18" s="9">
        <f>IS!D18</f>
        <v>135712</v>
      </c>
      <c r="E18" s="9">
        <f>IS!E18</f>
        <v>152336</v>
      </c>
      <c r="F18" s="9">
        <f>IS!F18</f>
        <v>164662</v>
      </c>
      <c r="G18" s="9">
        <f>IS!G18</f>
        <v>183235</v>
      </c>
      <c r="H18" s="9">
        <f>IS!H18</f>
        <v>206912</v>
      </c>
      <c r="I18" s="9">
        <f>IS!I18</f>
        <v>224043</v>
      </c>
      <c r="J18" s="9">
        <f>IS!J18</f>
        <v>240481</v>
      </c>
      <c r="K18" s="9">
        <f>IS!K18</f>
        <v>254828</v>
      </c>
      <c r="L18" s="9">
        <f>IS!L18</f>
        <v>262251.55958750006</v>
      </c>
      <c r="M18" s="9">
        <f>IS!M18</f>
        <v>269891.37821848894</v>
      </c>
      <c r="N18" s="9">
        <f>IS!N18</f>
        <v>277753.75578925991</v>
      </c>
      <c r="O18" s="9">
        <f>IS!O18</f>
        <v>285845.17571871902</v>
      </c>
      <c r="P18" s="9">
        <f>IS!P18</f>
        <v>294172.31029455655</v>
      </c>
    </row>
    <row r="19" spans="1:16" ht="15" customHeight="1" x14ac:dyDescent="0.2">
      <c r="A19" t="s">
        <v>30</v>
      </c>
      <c r="B19" s="9">
        <f>IS!B21</f>
        <v>1227</v>
      </c>
      <c r="C19" s="9">
        <f>IS!C21</f>
        <v>847</v>
      </c>
      <c r="D19" s="9">
        <f>IS!D21</f>
        <v>965</v>
      </c>
      <c r="E19" s="9">
        <f>IS!E21</f>
        <v>6059</v>
      </c>
      <c r="F19" s="9">
        <f>IS!F21</f>
        <v>641</v>
      </c>
      <c r="G19" s="9">
        <f>IS!G21</f>
        <v>1059</v>
      </c>
      <c r="H19" s="9">
        <f>IS!H21</f>
        <v>1797</v>
      </c>
      <c r="I19" s="9">
        <f>IS!I21</f>
        <v>1810</v>
      </c>
      <c r="J19" s="9">
        <f>IS!J21</f>
        <v>2385</v>
      </c>
      <c r="K19" s="9">
        <f>IS!K21</f>
        <v>2229</v>
      </c>
      <c r="L19" s="9">
        <f>IS!L21</f>
        <v>2200</v>
      </c>
      <c r="M19" s="9">
        <f>IS!M21</f>
        <v>2200</v>
      </c>
      <c r="N19" s="9">
        <f>IS!N21</f>
        <v>2200</v>
      </c>
      <c r="O19" s="9">
        <f>IS!O21</f>
        <v>2200</v>
      </c>
      <c r="P19" s="9">
        <f>IS!P21</f>
        <v>2200</v>
      </c>
    </row>
    <row r="20" spans="1:16" ht="15" customHeight="1" x14ac:dyDescent="0.2">
      <c r="A20" t="s">
        <v>31</v>
      </c>
      <c r="B20" s="9">
        <f>IS!B22</f>
        <v>-12733</v>
      </c>
      <c r="C20" s="9">
        <f>IS!C22</f>
        <v>-12958</v>
      </c>
      <c r="D20" s="9">
        <f>IS!D22</f>
        <v>-14201</v>
      </c>
      <c r="E20" s="9">
        <f>IS!E22</f>
        <v>-14881</v>
      </c>
      <c r="F20" s="9">
        <f>IS!F22</f>
        <v>-14745</v>
      </c>
      <c r="G20" s="9">
        <f>IS!G22</f>
        <v>-15988</v>
      </c>
      <c r="H20" s="9">
        <f>IS!H22</f>
        <v>-17153</v>
      </c>
      <c r="I20" s="9">
        <f>IS!I22</f>
        <v>-19302</v>
      </c>
      <c r="J20" s="9">
        <f>IS!J22</f>
        <v>-20282</v>
      </c>
      <c r="K20" s="9">
        <f>IS!K22</f>
        <v>-21737</v>
      </c>
      <c r="L20" s="9">
        <f>IS!L22</f>
        <v>-21701.355662868253</v>
      </c>
      <c r="M20" s="9">
        <f>IS!M22</f>
        <v>-21927.487215764093</v>
      </c>
      <c r="N20" s="9">
        <f>IS!N22</f>
        <v>-22148.376902608725</v>
      </c>
      <c r="O20" s="9">
        <f>IS!O22</f>
        <v>-22793.595246338031</v>
      </c>
      <c r="P20" s="9">
        <f>IS!P22</f>
        <v>-23457.609724127229</v>
      </c>
    </row>
    <row r="21" spans="1:16" ht="15" customHeight="1" x14ac:dyDescent="0.2">
      <c r="A21" t="s">
        <v>32</v>
      </c>
      <c r="B21" s="9">
        <f>IS!B26</f>
        <v>93092</v>
      </c>
      <c r="C21" s="9">
        <f>IS!C26</f>
        <v>102575</v>
      </c>
      <c r="D21" s="9">
        <f>IS!D26</f>
        <v>121923</v>
      </c>
      <c r="E21" s="9">
        <f>IS!E26</f>
        <v>141924</v>
      </c>
      <c r="F21" s="9">
        <f>IS!F26</f>
        <v>150617</v>
      </c>
      <c r="G21" s="9">
        <f>IS!G26</f>
        <v>166437</v>
      </c>
      <c r="H21" s="9">
        <f>IS!H26</f>
        <v>193790</v>
      </c>
      <c r="I21" s="9">
        <f>IS!I26</f>
        <v>206221</v>
      </c>
      <c r="J21" s="9">
        <f>IS!J26</f>
        <v>217611</v>
      </c>
      <c r="K21" s="9">
        <f>IS!K26</f>
        <v>235795</v>
      </c>
      <c r="L21" s="9">
        <f>IS!L26</f>
        <v>239250.20392463182</v>
      </c>
      <c r="M21" s="9">
        <f>IS!M26</f>
        <v>246663.89100272485</v>
      </c>
      <c r="N21" s="9">
        <f>IS!N26</f>
        <v>254305.37888665119</v>
      </c>
      <c r="O21" s="9">
        <f>IS!O26</f>
        <v>261751.58047238097</v>
      </c>
      <c r="P21" s="9">
        <f>IS!P26</f>
        <v>269414.70057042933</v>
      </c>
    </row>
    <row r="22" spans="1:16" ht="15" customHeight="1" x14ac:dyDescent="0.2">
      <c r="A22" t="s">
        <v>33</v>
      </c>
      <c r="B22" s="9">
        <f>IS!B29</f>
        <v>-37698</v>
      </c>
      <c r="C22" s="9">
        <f>IS!C29</f>
        <v>-34845</v>
      </c>
      <c r="D22" s="9">
        <f>IS!D29</f>
        <v>-42648</v>
      </c>
      <c r="E22" s="9">
        <f>IS!E29</f>
        <v>-47443</v>
      </c>
      <c r="F22" s="9">
        <f>IS!F29</f>
        <v>-48919</v>
      </c>
      <c r="G22" s="9">
        <f>IS!G29</f>
        <v>-51521</v>
      </c>
      <c r="H22" s="9">
        <f>IS!H29</f>
        <v>-61499</v>
      </c>
      <c r="I22" s="9">
        <f>IS!I29</f>
        <v>-69398</v>
      </c>
      <c r="J22" s="9">
        <f>IS!J29</f>
        <v>-79712</v>
      </c>
      <c r="K22" s="9">
        <f>IS!K29</f>
        <v>-84451</v>
      </c>
      <c r="L22" s="9">
        <f>IS!L29</f>
        <v>-86391.615109111648</v>
      </c>
      <c r="M22" s="9">
        <f>IS!M29</f>
        <v>-86483.348439312584</v>
      </c>
      <c r="N22" s="9">
        <f>IS!N29</f>
        <v>-86430.90955906063</v>
      </c>
      <c r="O22" s="9">
        <f>IS!O29</f>
        <v>-85148.778626389379</v>
      </c>
      <c r="P22" s="9">
        <f>IS!P29</f>
        <v>-84563.076941474006</v>
      </c>
    </row>
    <row r="23" spans="1:16" ht="15" customHeight="1" x14ac:dyDescent="0.2">
      <c r="A23" t="s">
        <v>34</v>
      </c>
      <c r="B23" s="9">
        <f>IS!B42</f>
        <v>71439</v>
      </c>
      <c r="C23" s="9">
        <f>IS!C42</f>
        <v>104761</v>
      </c>
      <c r="D23" s="9">
        <f>IS!D42</f>
        <v>175171</v>
      </c>
      <c r="E23" s="9">
        <f>IS!E42</f>
        <v>283525</v>
      </c>
      <c r="F23" s="9">
        <f>IS!F42</f>
        <v>146039</v>
      </c>
      <c r="G23" s="9">
        <f>IS!G42</f>
        <v>285527</v>
      </c>
      <c r="H23" s="9">
        <f>IS!H42</f>
        <v>122532</v>
      </c>
      <c r="I23" s="9">
        <f>IS!I42</f>
        <v>266333</v>
      </c>
      <c r="J23" s="9">
        <f>IS!J42</f>
        <v>667844</v>
      </c>
      <c r="K23" s="9">
        <f>IS!K42</f>
        <v>29412</v>
      </c>
      <c r="L23" s="9">
        <f>IS!L42</f>
        <v>151858.58881552017</v>
      </c>
      <c r="M23" s="9">
        <f>IS!M42</f>
        <v>159180.54256341228</v>
      </c>
      <c r="N23" s="9">
        <f>IS!N42</f>
        <v>166874.46932759054</v>
      </c>
      <c r="O23" s="9">
        <f>IS!O42</f>
        <v>175602.80184599158</v>
      </c>
      <c r="P23" s="9">
        <f>IS!P42</f>
        <v>183851.62362895533</v>
      </c>
    </row>
    <row r="25" spans="1:16" ht="15" customHeight="1" x14ac:dyDescent="0.2">
      <c r="A25" t="s">
        <v>35</v>
      </c>
      <c r="B25" s="4">
        <f>IS!B45</f>
        <v>0.60149826837603915</v>
      </c>
      <c r="C25" s="4">
        <f>IS!C45</f>
        <v>0.61491004765793023</v>
      </c>
      <c r="D25" s="4">
        <f>IS!D45</f>
        <v>0.62841557888302868</v>
      </c>
      <c r="E25" s="4">
        <f>IS!E45</f>
        <v>0.63014117948781589</v>
      </c>
      <c r="F25" s="4">
        <f>IS!F45</f>
        <v>0.62922541938935383</v>
      </c>
      <c r="G25" s="4">
        <f>IS!G45</f>
        <v>0.62985318836644133</v>
      </c>
      <c r="H25" s="4">
        <f>IS!H45</f>
        <v>0.62920446286570964</v>
      </c>
      <c r="I25" s="4">
        <f>IS!I45</f>
        <v>0.64352434295562255</v>
      </c>
      <c r="J25" s="4">
        <f>IS!J45</f>
        <v>0.65948443713149596</v>
      </c>
      <c r="K25" s="4">
        <f>IS!K45</f>
        <v>0.66465137023638432</v>
      </c>
      <c r="L25" s="4">
        <f>IS!L45</f>
        <v>0.66465137023638432</v>
      </c>
      <c r="M25" s="4">
        <f>IS!M45</f>
        <v>0.66465137023638432</v>
      </c>
      <c r="N25" s="4">
        <f>IS!N45</f>
        <v>0.66465137023638432</v>
      </c>
      <c r="O25" s="4">
        <f>IS!O45</f>
        <v>0.66465137023638432</v>
      </c>
      <c r="P25" s="4">
        <f>IS!P45</f>
        <v>0.66465137023638432</v>
      </c>
    </row>
    <row r="26" spans="1:16" ht="15" customHeight="1" x14ac:dyDescent="0.2">
      <c r="A26" t="s">
        <v>36</v>
      </c>
      <c r="C26" s="4">
        <f>IS!C46</f>
        <v>6.9082381938620069E-2</v>
      </c>
      <c r="D26" s="4">
        <f>IS!D46</f>
        <v>0.15253739786633363</v>
      </c>
      <c r="E26" s="4">
        <f>IS!E46</f>
        <v>0.11942081598821999</v>
      </c>
      <c r="F26" s="4">
        <f>IS!F46</f>
        <v>8.2486380502091006E-2</v>
      </c>
      <c r="G26" s="4">
        <f>IS!G46</f>
        <v>0.11168558217738546</v>
      </c>
      <c r="H26" s="4">
        <f>IS!H46</f>
        <v>0.130380830271177</v>
      </c>
      <c r="I26" s="4">
        <f>IS!I46</f>
        <v>5.8699030248109303E-2</v>
      </c>
      <c r="J26" s="4">
        <f>IS!J46</f>
        <v>4.7393364928909949E-2</v>
      </c>
      <c r="K26" s="4">
        <f>IS!K46</f>
        <v>5.1421911421911423E-2</v>
      </c>
      <c r="L26" s="4">
        <f>IS!L46</f>
        <v>2.9131647964509681E-2</v>
      </c>
      <c r="M26" s="4">
        <f>IS!M46</f>
        <v>2.9131642317039762E-2</v>
      </c>
      <c r="N26" s="4">
        <f>IS!N46</f>
        <v>2.913163667053497E-2</v>
      </c>
      <c r="O26" s="4">
        <f>IS!O46</f>
        <v>2.9131631024994449E-2</v>
      </c>
      <c r="P26" s="4">
        <f>IS!P46</f>
        <v>2.9131625380418073E-2</v>
      </c>
    </row>
    <row r="27" spans="1:16" ht="15" customHeight="1" x14ac:dyDescent="0.2">
      <c r="A27" t="s">
        <v>37</v>
      </c>
      <c r="B27" s="4">
        <f>IS!B47</f>
        <v>7.2648329139779422E-2</v>
      </c>
      <c r="C27" s="4">
        <f>IS!C47</f>
        <v>6.9154698815756463E-2</v>
      </c>
      <c r="D27" s="4">
        <f>IS!D47</f>
        <v>6.5757852184905471E-2</v>
      </c>
      <c r="E27" s="4">
        <f>IS!E47</f>
        <v>6.1555580374686142E-2</v>
      </c>
      <c r="F27" s="4">
        <f>IS!F47</f>
        <v>5.6345294050212082E-2</v>
      </c>
      <c r="G27" s="4">
        <f>IS!G47</f>
        <v>5.495725584960659E-2</v>
      </c>
      <c r="H27" s="4">
        <f>IS!H47</f>
        <v>5.2161035375113657E-2</v>
      </c>
      <c r="I27" s="4">
        <f>IS!I47</f>
        <v>5.5441619991383022E-2</v>
      </c>
      <c r="J27" s="4">
        <f>IS!J47</f>
        <v>5.5620457973399151E-2</v>
      </c>
      <c r="K27" s="4">
        <f>IS!K47</f>
        <v>5.6695209454331104E-2</v>
      </c>
      <c r="L27" s="4">
        <f>IS!L47</f>
        <v>5.5E-2</v>
      </c>
      <c r="M27" s="4">
        <f>IS!M47</f>
        <v>5.4000000000000006E-2</v>
      </c>
      <c r="N27" s="4">
        <f>IS!N47</f>
        <v>5.2999999999999999E-2</v>
      </c>
      <c r="O27" s="4">
        <f>IS!O47</f>
        <v>5.2999999999999999E-2</v>
      </c>
      <c r="P27" s="4">
        <f>IS!P47</f>
        <v>5.2999999999999999E-2</v>
      </c>
    </row>
    <row r="29" spans="1:16" ht="15" customHeight="1" x14ac:dyDescent="0.2">
      <c r="A29" s="2" t="s">
        <v>38</v>
      </c>
    </row>
    <row r="30" spans="1:16" ht="15" customHeight="1" x14ac:dyDescent="0.2">
      <c r="A30" t="s">
        <v>39</v>
      </c>
      <c r="B30" s="9">
        <f>IS!B50</f>
        <v>58886</v>
      </c>
      <c r="C30" s="9">
        <f>IS!C50</f>
        <v>69873</v>
      </c>
      <c r="D30" s="9">
        <f>IS!D50</f>
        <v>81808</v>
      </c>
      <c r="E30" s="9">
        <f>IS!E50</f>
        <v>93884</v>
      </c>
      <c r="F30" s="9">
        <f>IS!F50</f>
        <v>104678</v>
      </c>
      <c r="G30" s="9">
        <f>IS!G50</f>
        <v>119235</v>
      </c>
      <c r="H30" s="9">
        <f>IS!H50</f>
        <v>132603</v>
      </c>
      <c r="I30" s="9">
        <f>IS!I50</f>
        <v>139755</v>
      </c>
      <c r="J30" s="9">
        <f>IS!J50</f>
        <v>144914</v>
      </c>
      <c r="K30" s="9">
        <f>IS!K50</f>
        <v>152776</v>
      </c>
      <c r="L30" s="9">
        <f>IS!L50</f>
        <v>154732.58881552017</v>
      </c>
      <c r="M30" s="9">
        <f>IS!M50</f>
        <v>162054.54256341228</v>
      </c>
      <c r="N30" s="9">
        <f>IS!N50</f>
        <v>169748.46932759054</v>
      </c>
      <c r="O30" s="9">
        <f>IS!O50</f>
        <v>178476.80184599158</v>
      </c>
      <c r="P30" s="9">
        <f>IS!P50</f>
        <v>186725.62362895533</v>
      </c>
    </row>
    <row r="31" spans="1:16" ht="15" customHeight="1" x14ac:dyDescent="0.2">
      <c r="A31" t="s">
        <v>40</v>
      </c>
      <c r="B31" s="9">
        <f>IS!B62</f>
        <v>39179.4</v>
      </c>
      <c r="C31" s="9">
        <f>IS!C62</f>
        <v>50134</v>
      </c>
      <c r="D31" s="9">
        <f>IS!D62</f>
        <v>58506.2</v>
      </c>
      <c r="E31" s="9">
        <f>IS!E62</f>
        <v>67161.600000000006</v>
      </c>
      <c r="F31" s="9">
        <f>IS!F62</f>
        <v>76298.7</v>
      </c>
      <c r="G31" s="9">
        <f>IS!G62</f>
        <v>88240.75</v>
      </c>
      <c r="H31" s="9">
        <f>IS!H62</f>
        <v>97223.2</v>
      </c>
      <c r="I31" s="9">
        <f>IS!I62</f>
        <v>101736.55</v>
      </c>
      <c r="J31" s="9">
        <f>IS!J62</f>
        <v>98510.85</v>
      </c>
      <c r="K31" s="9">
        <f>IS!K62</f>
        <v>109949.8</v>
      </c>
      <c r="L31" s="9">
        <f>IS!L62</f>
        <v>114820.85487739516</v>
      </c>
      <c r="M31" s="9">
        <f>IS!M62</f>
        <v>120996.83583063894</v>
      </c>
      <c r="N31" s="9">
        <f>IS!N62</f>
        <v>127511.40595920157</v>
      </c>
      <c r="O31" s="9">
        <f>IS!O62</f>
        <v>135026.02548818372</v>
      </c>
      <c r="P31" s="9">
        <f>IS!P62</f>
        <v>142025.77708477186</v>
      </c>
    </row>
    <row r="32" spans="1:16" ht="15" customHeight="1" x14ac:dyDescent="0.2">
      <c r="A32" t="s">
        <v>41</v>
      </c>
      <c r="B32" s="9">
        <f>IS!B51</f>
        <v>68569</v>
      </c>
      <c r="C32" s="9">
        <f>IS!C51</f>
        <v>78658</v>
      </c>
      <c r="D32" s="9">
        <f>IS!D51</f>
        <v>87185</v>
      </c>
      <c r="E32" s="9">
        <f>IS!E51</f>
        <v>95914</v>
      </c>
      <c r="F32" s="9">
        <f>IS!F51</f>
        <v>104503</v>
      </c>
      <c r="G32" s="9">
        <f>IS!G51</f>
        <v>111626</v>
      </c>
      <c r="H32" s="9">
        <f>IS!H51</f>
        <v>119637</v>
      </c>
      <c r="I32" s="9">
        <f>IS!I51</f>
        <v>121656</v>
      </c>
      <c r="J32" s="9">
        <f>IS!J51</f>
        <v>123123</v>
      </c>
      <c r="K32" s="9">
        <f>IS!K51</f>
        <v>124547</v>
      </c>
      <c r="L32" s="9">
        <f>IS!L51</f>
        <v>125568.0813546798</v>
      </c>
      <c r="M32" s="9">
        <f>IS!M51</f>
        <v>127071.18695907327</v>
      </c>
      <c r="N32" s="9">
        <f>IS!N51</f>
        <v>128592.28540395282</v>
      </c>
      <c r="O32" s="9">
        <f>IS!O51</f>
        <v>130131.59207159618</v>
      </c>
      <c r="P32" s="9">
        <f>IS!P51</f>
        <v>131689.32492250248</v>
      </c>
    </row>
    <row r="34" spans="1:16" ht="15" customHeight="1" x14ac:dyDescent="0.2">
      <c r="A34" t="s">
        <v>42</v>
      </c>
      <c r="B34" s="3">
        <f>IS!B52</f>
        <v>0.85878458195394425</v>
      </c>
      <c r="C34" s="3">
        <f>IS!C52</f>
        <v>0.88831396679295171</v>
      </c>
      <c r="D34" s="3">
        <f>IS!D52</f>
        <v>0.93832654699776341</v>
      </c>
      <c r="E34" s="3">
        <f>IS!E52</f>
        <v>0.97883520653919132</v>
      </c>
      <c r="F34" s="3">
        <f>IS!F52</f>
        <v>1.0016745930738831</v>
      </c>
      <c r="G34" s="3">
        <f>IS!G52</f>
        <v>1.0681651228208482</v>
      </c>
      <c r="H34" s="3">
        <f>IS!H52</f>
        <v>1.1083778429749993</v>
      </c>
      <c r="I34" s="3">
        <f>IS!I52</f>
        <v>1.1487719471296114</v>
      </c>
      <c r="J34" s="3">
        <f>IS!J52</f>
        <v>1.1769856160100063</v>
      </c>
      <c r="K34" s="3">
        <f>IS!K52</f>
        <v>1.2266533918922173</v>
      </c>
      <c r="L34" s="3">
        <f>IS!L52</f>
        <v>1.2322605167348402</v>
      </c>
      <c r="M34" s="3">
        <f>IS!M52</f>
        <v>1.275305176897469</v>
      </c>
      <c r="N34" s="3">
        <f>IS!N52</f>
        <v>1.3200517340083966</v>
      </c>
      <c r="O34" s="3">
        <f>IS!O52</f>
        <v>1.3715101690894298</v>
      </c>
      <c r="P34" s="3">
        <f>IS!P52</f>
        <v>1.4179252854310023</v>
      </c>
    </row>
    <row r="35" spans="1:16" ht="15" customHeight="1" x14ac:dyDescent="0.2">
      <c r="A35" t="s">
        <v>43</v>
      </c>
      <c r="B35" s="3">
        <f>IS!B63</f>
        <v>0.5713864866047339</v>
      </c>
      <c r="C35" s="3">
        <f>IS!C63</f>
        <v>0.63736682854890792</v>
      </c>
      <c r="D35" s="3">
        <f>IS!D63</f>
        <v>0.6710580948557664</v>
      </c>
      <c r="E35" s="3">
        <f>IS!E63</f>
        <v>0.70022728694455461</v>
      </c>
      <c r="F35" s="3">
        <f>IS!F63</f>
        <v>0.73011014037874511</v>
      </c>
      <c r="G35" s="3">
        <f>IS!G63</f>
        <v>0.79050355651909054</v>
      </c>
      <c r="H35" s="3">
        <f>IS!H63</f>
        <v>0.81265160443675444</v>
      </c>
      <c r="I35" s="3">
        <f>IS!I63</f>
        <v>0.83626413822581713</v>
      </c>
      <c r="J35" s="3">
        <f>IS!J63</f>
        <v>0.80010111839380138</v>
      </c>
      <c r="K35" s="3">
        <f>IS!K63</f>
        <v>0.8827976587151839</v>
      </c>
      <c r="L35" s="3">
        <f>IS!L63</f>
        <v>0.91441115957702657</v>
      </c>
      <c r="M35" s="3">
        <f>IS!M63</f>
        <v>0.95219725829435486</v>
      </c>
      <c r="N35" s="3">
        <f>IS!N63</f>
        <v>0.99159452340896004</v>
      </c>
      <c r="O35" s="3">
        <f>IS!O63</f>
        <v>1.0376114157882177</v>
      </c>
      <c r="P35" s="3">
        <f>IS!P63</f>
        <v>1.0784911925727636</v>
      </c>
    </row>
    <row r="36" spans="1:16" ht="15" customHeight="1" x14ac:dyDescent="0.2">
      <c r="A36" t="s">
        <v>44</v>
      </c>
      <c r="B36" s="3">
        <f>IS!B66</f>
        <v>0.6</v>
      </c>
      <c r="C36" s="3">
        <f>IS!C66</f>
        <v>0.62</v>
      </c>
      <c r="D36" s="3">
        <f>IS!D66</f>
        <v>0.64</v>
      </c>
      <c r="E36" s="3">
        <f>IS!E66</f>
        <v>0.66</v>
      </c>
      <c r="F36" s="3">
        <f>IS!F66</f>
        <v>0.68</v>
      </c>
      <c r="G36" s="3">
        <f>IS!G66</f>
        <v>0.69</v>
      </c>
      <c r="H36" s="3">
        <f>IS!H66</f>
        <v>0.7</v>
      </c>
      <c r="I36" s="3">
        <f>IS!I66</f>
        <v>0.7</v>
      </c>
      <c r="J36" s="3">
        <f>IS!J66</f>
        <v>0.72</v>
      </c>
      <c r="K36" s="3">
        <f>IS!K66</f>
        <v>0.72</v>
      </c>
      <c r="L36" s="3">
        <f>IS!L66</f>
        <v>0.72</v>
      </c>
      <c r="M36" s="3">
        <f>IS!M66</f>
        <v>0.72</v>
      </c>
      <c r="N36" s="3">
        <f>IS!N66</f>
        <v>0.72</v>
      </c>
      <c r="O36" s="3">
        <f>IS!O66</f>
        <v>0.72</v>
      </c>
      <c r="P36" s="3">
        <f>IS!P66</f>
        <v>0.72</v>
      </c>
    </row>
    <row r="37" spans="1:16" ht="15" customHeight="1" x14ac:dyDescent="0.2">
      <c r="A37" t="s">
        <v>45</v>
      </c>
      <c r="B37" s="4">
        <f>IS!B67</f>
        <v>0.698661821145943</v>
      </c>
      <c r="C37" s="4">
        <f>IS!C67</f>
        <v>0.69795142615888828</v>
      </c>
      <c r="D37" s="4">
        <f>IS!D67</f>
        <v>0.68206532368472517</v>
      </c>
      <c r="E37" s="4">
        <f>IS!E67</f>
        <v>0.67427080226662695</v>
      </c>
      <c r="F37" s="4">
        <f>IS!F67</f>
        <v>0.67886318041995453</v>
      </c>
      <c r="G37" s="4">
        <f>IS!G67</f>
        <v>0.64596754308718074</v>
      </c>
      <c r="H37" s="4">
        <f>IS!H67</f>
        <v>0.63155358476052581</v>
      </c>
      <c r="I37" s="4">
        <f>IS!I67</f>
        <v>0.60934635612321553</v>
      </c>
      <c r="J37" s="4">
        <f>IS!J67</f>
        <v>0.61173219978746007</v>
      </c>
      <c r="K37" s="4">
        <f>IS!K67</f>
        <v>0.5869628737498036</v>
      </c>
      <c r="L37" s="4">
        <f>IS!L67</f>
        <v>0.58429203096420457</v>
      </c>
      <c r="M37" s="4">
        <f>IS!M67</f>
        <v>0.56457074984326361</v>
      </c>
      <c r="N37" s="4">
        <f>IS!N67</f>
        <v>0.54543316860293611</v>
      </c>
      <c r="O37" s="4">
        <f>IS!O67</f>
        <v>0.52496876525386671</v>
      </c>
      <c r="P37" s="4">
        <f>IS!P67</f>
        <v>0.50778415999623272</v>
      </c>
    </row>
    <row r="38" spans="1:16" ht="15" customHeight="1" x14ac:dyDescent="0.2">
      <c r="A38" t="s">
        <v>46</v>
      </c>
      <c r="B38" s="4">
        <f>IS!B68</f>
        <v>1.0500773365595184</v>
      </c>
      <c r="C38" s="4">
        <f>IS!C68</f>
        <v>0.97275222403957395</v>
      </c>
      <c r="D38" s="4">
        <f>IS!D68</f>
        <v>0.95371772564275248</v>
      </c>
      <c r="E38" s="4">
        <f>IS!E68</f>
        <v>0.94255110062893066</v>
      </c>
      <c r="F38" s="4">
        <f>IS!F68</f>
        <v>0.93136632734240565</v>
      </c>
      <c r="G38" s="4">
        <f>IS!G68</f>
        <v>0.87286134807331073</v>
      </c>
      <c r="H38" s="4">
        <f>IS!H68</f>
        <v>0.86137773700104503</v>
      </c>
      <c r="I38" s="4">
        <f>IS!I68</f>
        <v>0.83705610225626859</v>
      </c>
      <c r="J38" s="4">
        <f>IS!J68</f>
        <v>0.89988625618396334</v>
      </c>
      <c r="K38" s="4">
        <f>IS!K68</f>
        <v>0.8155889324036969</v>
      </c>
      <c r="L38" s="4">
        <f>IS!L68</f>
        <v>0.78739196526543476</v>
      </c>
      <c r="M38" s="4">
        <f>IS!M68</f>
        <v>0.75614584449625122</v>
      </c>
      <c r="N38" s="4">
        <f>IS!N68</f>
        <v>0.72610324381859537</v>
      </c>
      <c r="O38" s="4">
        <f>IS!O68</f>
        <v>0.69390138643863575</v>
      </c>
      <c r="P38" s="4">
        <f>IS!P68</f>
        <v>0.66759933225085011</v>
      </c>
    </row>
    <row r="40" spans="1:16" ht="15" customHeight="1" x14ac:dyDescent="0.2">
      <c r="A40" s="2" t="s">
        <v>47</v>
      </c>
    </row>
    <row r="41" spans="1:16" ht="15" customHeight="1" x14ac:dyDescent="0.2">
      <c r="A41" t="s">
        <v>48</v>
      </c>
      <c r="B41" s="9">
        <f>IS!B71</f>
        <v>6539</v>
      </c>
      <c r="C41" s="9">
        <f>IS!C71</f>
        <v>13891</v>
      </c>
      <c r="D41" s="9">
        <f>IS!D71</f>
        <v>15236</v>
      </c>
      <c r="E41" s="9">
        <f>IS!E71</f>
        <v>16237</v>
      </c>
      <c r="F41" s="9">
        <f>IS!F71</f>
        <v>16860</v>
      </c>
      <c r="G41" s="9">
        <f>IS!G71</f>
        <v>18023</v>
      </c>
      <c r="H41" s="9">
        <f>IS!H71</f>
        <v>20318</v>
      </c>
      <c r="I41" s="9">
        <f>IS!I71</f>
        <v>21587</v>
      </c>
      <c r="J41" s="9">
        <f>IS!J71</f>
        <v>22722</v>
      </c>
      <c r="K41" s="9">
        <f>IS!K71</f>
        <v>22437</v>
      </c>
      <c r="L41" s="9">
        <f>IS!L71</f>
        <v>22422.85</v>
      </c>
      <c r="M41" s="9">
        <f>IS!M71</f>
        <v>22422.85</v>
      </c>
      <c r="N41" s="9">
        <f>IS!N71</f>
        <v>22422.85</v>
      </c>
      <c r="O41" s="9">
        <f>IS!O71</f>
        <v>22422.85</v>
      </c>
      <c r="P41" s="9">
        <f>IS!P71</f>
        <v>22422.85</v>
      </c>
    </row>
    <row r="42" spans="1:16" ht="15" customHeight="1" x14ac:dyDescent="0.2">
      <c r="A42" t="s">
        <v>49</v>
      </c>
      <c r="B42" s="9">
        <f>IS!B18*Assumptions!$B$121</f>
        <v>15813.599999999999</v>
      </c>
      <c r="C42" s="9">
        <f>IS!C18*Assumptions!$B$121</f>
        <v>17283</v>
      </c>
      <c r="D42" s="9">
        <f>IS!D18*Assumptions!$B$121</f>
        <v>20356.8</v>
      </c>
      <c r="E42" s="9">
        <f>IS!E18*Assumptions!$B$121</f>
        <v>22850.399999999998</v>
      </c>
      <c r="F42" s="9">
        <f>IS!F18*Assumptions!$B$121</f>
        <v>24699.3</v>
      </c>
      <c r="G42" s="9">
        <f>IS!G18*Assumptions!$B$121</f>
        <v>27485.25</v>
      </c>
      <c r="H42" s="9">
        <f>IS!H18*Assumptions!$B$121</f>
        <v>31036.799999999999</v>
      </c>
      <c r="I42" s="9">
        <f>IS!I18*Assumptions!$B$121</f>
        <v>33606.449999999997</v>
      </c>
      <c r="J42" s="9">
        <f>IS!J18*Assumptions!$B$121</f>
        <v>36072.15</v>
      </c>
      <c r="K42" s="9">
        <f>IS!K18*Assumptions!$B$121</f>
        <v>38224.199999999997</v>
      </c>
      <c r="L42" s="9">
        <f>IS!L18*Assumptions!$B$121</f>
        <v>39337.733938125006</v>
      </c>
      <c r="M42" s="9">
        <f>IS!M18*Assumptions!$B$121</f>
        <v>40483.706732773338</v>
      </c>
      <c r="N42" s="9">
        <f>IS!N18*Assumptions!$B$121</f>
        <v>41663.063368388983</v>
      </c>
      <c r="O42" s="9">
        <f>IS!O18*Assumptions!$B$121</f>
        <v>42876.776357807852</v>
      </c>
      <c r="P42" s="9">
        <f>IS!P18*Assumptions!$B$121</f>
        <v>44125.846544183478</v>
      </c>
    </row>
    <row r="43" spans="1:16" ht="15" customHeight="1" x14ac:dyDescent="0.2">
      <c r="A43" t="s">
        <v>50</v>
      </c>
      <c r="B43" s="9">
        <f>IS!B72</f>
        <v>33460</v>
      </c>
      <c r="C43" s="9">
        <f>IS!C72</f>
        <v>31172</v>
      </c>
      <c r="D43" s="9">
        <f>IS!D72</f>
        <v>47814</v>
      </c>
      <c r="E43" s="9">
        <f>IS!E72</f>
        <v>73419</v>
      </c>
      <c r="F43" s="9">
        <f>IS!F72</f>
        <v>69651</v>
      </c>
      <c r="G43" s="9">
        <f>IS!G72</f>
        <v>76812</v>
      </c>
      <c r="H43" s="9">
        <f>IS!H72</f>
        <v>93920</v>
      </c>
      <c r="I43" s="9">
        <f>IS!I72</f>
        <v>98386</v>
      </c>
      <c r="J43" s="9">
        <f>IS!J72</f>
        <v>93908</v>
      </c>
      <c r="K43" s="9">
        <f>IS!K72</f>
        <v>79608</v>
      </c>
      <c r="L43" s="9">
        <f>IS!L72</f>
        <v>82610.5</v>
      </c>
      <c r="M43" s="9">
        <f>IS!M72</f>
        <v>82610.5</v>
      </c>
      <c r="N43" s="9">
        <f>IS!N72</f>
        <v>82610.5</v>
      </c>
      <c r="O43" s="9">
        <f>IS!O72</f>
        <v>82610.5</v>
      </c>
      <c r="P43" s="9">
        <f>IS!P72</f>
        <v>82610.5</v>
      </c>
    </row>
    <row r="44" spans="1:16" ht="15" customHeight="1" x14ac:dyDescent="0.2">
      <c r="A44" t="s">
        <v>51</v>
      </c>
      <c r="B44" s="4">
        <f>IF(IS!B18=0,0,B41/IS!B18)</f>
        <v>6.20257246926696E-2</v>
      </c>
      <c r="C44" s="4">
        <f>IF(IS!C18=0,0,C41/IS!C18)</f>
        <v>0.12056066655094602</v>
      </c>
      <c r="D44" s="4">
        <f>IF(IS!D18=0,0,D41/IS!D18)</f>
        <v>0.11226715397311955</v>
      </c>
      <c r="E44" s="4">
        <f>IF(IS!E18=0,0,E41/IS!E18)</f>
        <v>0.1065867555928999</v>
      </c>
      <c r="F44" s="4">
        <f>IF(IS!F18=0,0,F41/IS!F18)</f>
        <v>0.10239156575287559</v>
      </c>
      <c r="G44" s="4">
        <f>IF(IS!G18=0,0,G41/IS!G18)</f>
        <v>9.8360029470352286E-2</v>
      </c>
      <c r="H44" s="4">
        <f>IF(IS!H18=0,0,H41/IS!H18)</f>
        <v>9.8196334673677693E-2</v>
      </c>
      <c r="I44" s="4">
        <f>IF(IS!I18=0,0,I41/IS!I18)</f>
        <v>9.635203956383373E-2</v>
      </c>
      <c r="J44" s="4">
        <f>IF(IS!J18=0,0,J41/IS!J18)</f>
        <v>9.4485635039774446E-2</v>
      </c>
      <c r="K44" s="4">
        <f>IF(IS!K18=0,0,K41/IS!K18)</f>
        <v>8.804762427990645E-2</v>
      </c>
      <c r="L44" s="4">
        <f>IF(IS!L18=0,0,L41/IS!L18)</f>
        <v>8.5501302776880644E-2</v>
      </c>
      <c r="M44" s="4">
        <f>IF(IS!M18=0,0,M41/IS!M18)</f>
        <v>8.3081016325937299E-2</v>
      </c>
      <c r="N44" s="4">
        <f>IF(IS!N18=0,0,N41/IS!N18)</f>
        <v>8.0729241396875609E-2</v>
      </c>
      <c r="O44" s="4">
        <f>IF(IS!O18=0,0,O41/IS!O18)</f>
        <v>7.8444038608035893E-2</v>
      </c>
      <c r="P44" s="4">
        <f>IF(IS!P18=0,0,P41/IS!P18)</f>
        <v>7.6223523476930441E-2</v>
      </c>
    </row>
    <row r="45" spans="1:16" ht="15" customHeight="1" x14ac:dyDescent="0.2">
      <c r="A45" t="s">
        <v>52</v>
      </c>
      <c r="B45" s="4">
        <f>IS!B73</f>
        <v>0.31738503566550313</v>
      </c>
      <c r="C45" s="4">
        <f>IS!C73</f>
        <v>0.27054330845339353</v>
      </c>
      <c r="D45" s="4">
        <f>IS!D73</f>
        <v>0.3523196180146192</v>
      </c>
      <c r="E45" s="4">
        <f>IS!E73</f>
        <v>0.481954364037391</v>
      </c>
      <c r="F45" s="4">
        <f>IS!F73</f>
        <v>0.42299376905418373</v>
      </c>
      <c r="G45" s="4">
        <f>IS!G73</f>
        <v>0.41919938876306384</v>
      </c>
      <c r="H45" s="4">
        <f>IS!H73</f>
        <v>0.45391277451283635</v>
      </c>
      <c r="I45" s="4">
        <f>IS!I73</f>
        <v>0.43913891529750987</v>
      </c>
      <c r="J45" s="4">
        <f>IS!J73</f>
        <v>0.39050070483738841</v>
      </c>
      <c r="K45" s="4">
        <f>IS!K73</f>
        <v>0.31239895144960522</v>
      </c>
      <c r="L45" s="4">
        <f>IS!L73</f>
        <v>0.31500479970429712</v>
      </c>
      <c r="M45" s="4">
        <f>IS!M73</f>
        <v>0.30608795488503215</v>
      </c>
      <c r="N45" s="4">
        <f>IS!N73</f>
        <v>0.2974235209358575</v>
      </c>
      <c r="O45" s="4">
        <f>IS!O73</f>
        <v>0.28900435276644804</v>
      </c>
      <c r="P45" s="4">
        <f>IS!P73</f>
        <v>0.28082350754658586</v>
      </c>
    </row>
    <row r="47" spans="1:16" ht="15" customHeight="1" x14ac:dyDescent="0.2">
      <c r="A47" s="2" t="s">
        <v>53</v>
      </c>
    </row>
    <row r="48" spans="1:16" ht="15" customHeight="1" x14ac:dyDescent="0.2">
      <c r="A48" t="s">
        <v>54</v>
      </c>
      <c r="B48" s="9">
        <f>CFS!B20</f>
        <v>63584</v>
      </c>
      <c r="C48" s="9">
        <f>CFS!C20</f>
        <v>82916</v>
      </c>
      <c r="D48" s="9">
        <f>CFS!D20</f>
        <v>89738</v>
      </c>
      <c r="E48" s="9">
        <f>CFS!E20</f>
        <v>95208</v>
      </c>
      <c r="F48" s="9">
        <f>CFS!F20</f>
        <v>123514</v>
      </c>
      <c r="G48" s="9">
        <f>CFS!G20</f>
        <v>140860</v>
      </c>
      <c r="H48" s="9">
        <f>CFS!H20</f>
        <v>125331</v>
      </c>
      <c r="I48" s="9">
        <f>CFS!I20</f>
        <v>139734</v>
      </c>
      <c r="J48" s="9">
        <f>CFS!J20</f>
        <v>160140</v>
      </c>
      <c r="K48" s="9">
        <f>CFS!K20</f>
        <v>145940</v>
      </c>
      <c r="L48" s="9">
        <f>CFS!L20</f>
        <v>161858.58881552017</v>
      </c>
      <c r="M48" s="9">
        <f>CFS!M20</f>
        <v>169180.54256341228</v>
      </c>
      <c r="N48" s="9">
        <f>CFS!N20</f>
        <v>176874.46932759054</v>
      </c>
      <c r="O48" s="9">
        <f>CFS!O20</f>
        <v>185602.80184599158</v>
      </c>
      <c r="P48" s="9">
        <f>CFS!P20</f>
        <v>193851.62362895533</v>
      </c>
    </row>
    <row r="49" spans="1:16" ht="15" customHeight="1" x14ac:dyDescent="0.2">
      <c r="A49" t="s">
        <v>55</v>
      </c>
      <c r="B49" s="9">
        <f>CFS!B24</f>
        <v>-33460</v>
      </c>
      <c r="C49" s="9">
        <f>CFS!C24</f>
        <v>-31172</v>
      </c>
      <c r="D49" s="9">
        <f>CFS!D24</f>
        <v>-47814</v>
      </c>
      <c r="E49" s="9">
        <f>CFS!E24</f>
        <v>-73419</v>
      </c>
      <c r="F49" s="9">
        <f>CFS!F24</f>
        <v>-69651</v>
      </c>
      <c r="G49" s="9">
        <f>CFS!G24</f>
        <v>-76812</v>
      </c>
      <c r="H49" s="9">
        <f>CFS!H24</f>
        <v>-93920</v>
      </c>
      <c r="I49" s="9">
        <f>CFS!I24</f>
        <v>-98386</v>
      </c>
      <c r="J49" s="9">
        <f>CFS!J24</f>
        <v>-93908</v>
      </c>
      <c r="K49" s="9">
        <f>CFS!K24</f>
        <v>-79608</v>
      </c>
      <c r="L49" s="9">
        <f>CFS!L24</f>
        <v>-82610.5</v>
      </c>
      <c r="M49" s="9">
        <f>CFS!M24</f>
        <v>-82610.5</v>
      </c>
      <c r="N49" s="9">
        <f>CFS!N24</f>
        <v>-82610.5</v>
      </c>
      <c r="O49" s="9">
        <f>CFS!O24</f>
        <v>-82610.5</v>
      </c>
      <c r="P49" s="9">
        <f>CFS!P24</f>
        <v>-82610.5</v>
      </c>
    </row>
    <row r="50" spans="1:16" ht="15" customHeight="1" x14ac:dyDescent="0.2">
      <c r="A50" t="s">
        <v>56</v>
      </c>
      <c r="B50" s="9">
        <f>CFS!B53</f>
        <v>30124</v>
      </c>
      <c r="C50" s="9">
        <f>CFS!C53</f>
        <v>51744</v>
      </c>
      <c r="D50" s="9">
        <f>CFS!D53</f>
        <v>41924</v>
      </c>
      <c r="E50" s="9">
        <f>CFS!E53</f>
        <v>21789</v>
      </c>
      <c r="F50" s="9">
        <f>CFS!F53</f>
        <v>53863</v>
      </c>
      <c r="G50" s="9">
        <f>CFS!G53</f>
        <v>64048</v>
      </c>
      <c r="H50" s="9">
        <f>CFS!H53</f>
        <v>31411</v>
      </c>
      <c r="I50" s="9">
        <f>CFS!I53</f>
        <v>41348</v>
      </c>
      <c r="J50" s="9">
        <f>CFS!J53</f>
        <v>66232</v>
      </c>
      <c r="K50" s="9">
        <f>CFS!K53</f>
        <v>66332</v>
      </c>
      <c r="L50" s="9">
        <f>CFS!L53</f>
        <v>79248.088815520168</v>
      </c>
      <c r="M50" s="9">
        <f>CFS!M53</f>
        <v>86570.04256341228</v>
      </c>
      <c r="N50" s="9">
        <f>CFS!N53</f>
        <v>94263.969327590545</v>
      </c>
      <c r="O50" s="9">
        <f>CFS!O53</f>
        <v>102992.30184599158</v>
      </c>
      <c r="P50" s="9">
        <f>CFS!P53</f>
        <v>111241.12362895533</v>
      </c>
    </row>
    <row r="51" spans="1:16" ht="15" customHeight="1" x14ac:dyDescent="0.2">
      <c r="A51" t="s">
        <v>57</v>
      </c>
      <c r="B51" s="3">
        <f>CFS!B54</f>
        <v>0.43932389272120054</v>
      </c>
      <c r="C51" s="3">
        <f>CFS!C54</f>
        <v>0.65783518523227136</v>
      </c>
      <c r="D51" s="3">
        <f>CFS!D54</f>
        <v>0.48086253369272236</v>
      </c>
      <c r="E51" s="3">
        <f>CFS!E54</f>
        <v>0.22717225848155639</v>
      </c>
      <c r="F51" s="3">
        <f>CFS!F54</f>
        <v>0.515420609934643</v>
      </c>
      <c r="G51" s="3">
        <f>CFS!G54</f>
        <v>0.57377313529106122</v>
      </c>
      <c r="H51" s="3">
        <f>CFS!H54</f>
        <v>0.26255255481163853</v>
      </c>
      <c r="I51" s="3">
        <f>CFS!I54</f>
        <v>0.33987637272308807</v>
      </c>
      <c r="J51" s="3">
        <f>CFS!J54</f>
        <v>0.53793361110434279</v>
      </c>
      <c r="K51" s="3">
        <f>CFS!K54</f>
        <v>0.53258609199739859</v>
      </c>
      <c r="L51" s="3">
        <f>CFS!L54</f>
        <v>0.63111650636498851</v>
      </c>
      <c r="M51" s="3">
        <f>CFS!M54</f>
        <v>0.68127200693650969</v>
      </c>
      <c r="N51" s="3">
        <f>CFS!N54</f>
        <v>0.73304529141444863</v>
      </c>
      <c r="O51" s="3">
        <f>CFS!O54</f>
        <v>0.7914473357808991</v>
      </c>
      <c r="P51" s="3">
        <f>CFS!P54</f>
        <v>0.8447239265173494</v>
      </c>
    </row>
    <row r="52" spans="1:16" ht="15" customHeight="1" x14ac:dyDescent="0.2">
      <c r="A52" t="s">
        <v>58</v>
      </c>
      <c r="B52" s="4">
        <f>CFS!B57</f>
        <v>1.0461758066657814</v>
      </c>
      <c r="C52" s="4">
        <f>CFS!C57</f>
        <v>0.70947356215213353</v>
      </c>
      <c r="D52" s="4">
        <f>CFS!D57</f>
        <v>0.99270107814139874</v>
      </c>
      <c r="E52" s="4">
        <f>CFS!E57</f>
        <v>2.067143971728854</v>
      </c>
      <c r="F52" s="4">
        <f>CFS!F57</f>
        <v>0.92146742661938619</v>
      </c>
      <c r="G52" s="4">
        <f>CFS!G57</f>
        <v>0.80338183862103418</v>
      </c>
      <c r="H52" s="4">
        <f>CFS!H57</f>
        <v>1.8813154627359843</v>
      </c>
      <c r="I52" s="4">
        <f>CFS!I57</f>
        <v>1.3833075360356002</v>
      </c>
      <c r="J52" s="4">
        <f>CFS!J57</f>
        <v>0.91325945162459232</v>
      </c>
      <c r="K52" s="4">
        <f>CFS!K57</f>
        <v>0.95136585660013262</v>
      </c>
      <c r="L52" s="4">
        <f>CFS!L57</f>
        <v>0.8278548868569251</v>
      </c>
      <c r="M52" s="4">
        <f>CFS!M57</f>
        <v>0.76690789970916351</v>
      </c>
      <c r="N52" s="4">
        <f>CFS!N57</f>
        <v>0.71274297794367791</v>
      </c>
      <c r="O52" s="4">
        <f>CFS!O57</f>
        <v>0.66014864205059942</v>
      </c>
      <c r="P52" s="4">
        <f>CFS!P57</f>
        <v>0.61851318231790908</v>
      </c>
    </row>
    <row r="53" spans="1:16" ht="15" customHeight="1" x14ac:dyDescent="0.2">
      <c r="A53" t="s">
        <v>59</v>
      </c>
      <c r="B53" s="9">
        <f>CFS!B58</f>
        <v>-1391</v>
      </c>
      <c r="C53" s="9">
        <f>CFS!C58</f>
        <v>15033</v>
      </c>
      <c r="D53" s="9">
        <f>CFS!D58</f>
        <v>306</v>
      </c>
      <c r="E53" s="9">
        <f>CFS!E58</f>
        <v>-23252</v>
      </c>
      <c r="F53" s="9">
        <f>CFS!F58</f>
        <v>4230</v>
      </c>
      <c r="G53" s="9">
        <f>CFS!G58</f>
        <v>12593</v>
      </c>
      <c r="H53" s="9">
        <f>CFS!H58</f>
        <v>-27683</v>
      </c>
      <c r="I53" s="9">
        <f>CFS!I58</f>
        <v>-15849</v>
      </c>
      <c r="J53" s="9">
        <f>CFS!J58</f>
        <v>5745</v>
      </c>
      <c r="K53" s="9">
        <f>CFS!K58</f>
        <v>3226</v>
      </c>
      <c r="L53" s="9">
        <f>CFS!L58</f>
        <v>13642.171215520168</v>
      </c>
      <c r="M53" s="9">
        <f>CFS!M58</f>
        <v>20178.793043372876</v>
      </c>
      <c r="N53" s="9">
        <f>CFS!N58</f>
        <v>27077.987116252145</v>
      </c>
      <c r="O53" s="9">
        <f>CFS!O58</f>
        <v>35002.073640694798</v>
      </c>
      <c r="P53" s="9">
        <f>CFS!P58</f>
        <v>42437.02224859022</v>
      </c>
    </row>
    <row r="55" spans="1:16" ht="15" customHeight="1" x14ac:dyDescent="0.2">
      <c r="A55" s="2" t="s">
        <v>60</v>
      </c>
    </row>
    <row r="56" spans="1:16" ht="15" customHeight="1" x14ac:dyDescent="0.2">
      <c r="A56" t="s">
        <v>61</v>
      </c>
      <c r="B56" s="9">
        <f>BS!B8</f>
        <v>1942809</v>
      </c>
      <c r="C56" s="9">
        <f>BS!C8</f>
        <v>2279763</v>
      </c>
      <c r="D56" s="9">
        <f>BS!D8</f>
        <v>2799693</v>
      </c>
      <c r="E56" s="9">
        <f>BS!E8</f>
        <v>3320604</v>
      </c>
      <c r="F56" s="9">
        <f>BS!F8</f>
        <v>3741918</v>
      </c>
      <c r="G56" s="9">
        <f>BS!G8</f>
        <v>4540877</v>
      </c>
      <c r="H56" s="9">
        <f>BS!H8</f>
        <v>4812801</v>
      </c>
      <c r="I56" s="9">
        <f>BS!I8</f>
        <v>5027806</v>
      </c>
      <c r="J56" s="9">
        <f>BS!J8</f>
        <v>5384720</v>
      </c>
      <c r="K56" s="9">
        <f>BS!K8</f>
        <v>5449016</v>
      </c>
      <c r="L56" s="9">
        <f>BS!L8</f>
        <v>5245031.1917500012</v>
      </c>
      <c r="M56" s="9">
        <f>BS!M8</f>
        <v>5397827.5643697781</v>
      </c>
      <c r="N56" s="9">
        <f>BS!N8</f>
        <v>5555075.1157851983</v>
      </c>
      <c r="O56" s="9">
        <f>BS!O8</f>
        <v>5716903.51437438</v>
      </c>
      <c r="P56" s="9">
        <f>BS!P8</f>
        <v>5883446.2058911305</v>
      </c>
    </row>
    <row r="57" spans="1:16" ht="15" customHeight="1" x14ac:dyDescent="0.2">
      <c r="A57" t="s">
        <v>62</v>
      </c>
      <c r="B57" s="9">
        <f>BS!B17</f>
        <v>1987633</v>
      </c>
      <c r="C57" s="9">
        <f>BS!C17</f>
        <v>2311210</v>
      </c>
      <c r="D57" s="9">
        <f>BS!D17</f>
        <v>2824406</v>
      </c>
      <c r="E57" s="9">
        <f>BS!E17</f>
        <v>3380100</v>
      </c>
      <c r="F57" s="9">
        <f>BS!F17</f>
        <v>3776560</v>
      </c>
      <c r="G57" s="9">
        <f>BS!G17</f>
        <v>4578507</v>
      </c>
      <c r="H57" s="9">
        <f>BS!H17</f>
        <v>4859530</v>
      </c>
      <c r="I57" s="9">
        <f>BS!I17</f>
        <v>5075964</v>
      </c>
      <c r="J57" s="9">
        <f>BS!J17</f>
        <v>5440350</v>
      </c>
      <c r="K57" s="9">
        <f>BS!K17</f>
        <v>5507303</v>
      </c>
      <c r="L57" s="9">
        <f>BS!L17</f>
        <v>5293442.1917500012</v>
      </c>
      <c r="M57" s="9">
        <f>BS!M17</f>
        <v>5446238.5643697781</v>
      </c>
      <c r="N57" s="9">
        <f>BS!N17</f>
        <v>5603486.1157851983</v>
      </c>
      <c r="O57" s="9">
        <f>BS!O17</f>
        <v>5765314.51437438</v>
      </c>
      <c r="P57" s="9">
        <f>BS!P17</f>
        <v>5931857.2058911305</v>
      </c>
    </row>
    <row r="58" spans="1:16" ht="15" customHeight="1" x14ac:dyDescent="0.2">
      <c r="A58" t="s">
        <v>63</v>
      </c>
      <c r="B58" s="9">
        <f>BS!B20</f>
        <v>997514</v>
      </c>
      <c r="C58" s="9">
        <f>BS!C20</f>
        <v>1088507</v>
      </c>
      <c r="D58" s="9">
        <f>BS!D20</f>
        <v>1292476</v>
      </c>
      <c r="E58" s="9">
        <f>BS!E20</f>
        <v>1438270</v>
      </c>
      <c r="F58" s="9">
        <f>BS!F20</f>
        <v>1631689</v>
      </c>
      <c r="G58" s="9">
        <f>BS!G20</f>
        <v>1915334</v>
      </c>
      <c r="H58" s="9">
        <f>BS!H20</f>
        <v>1979442</v>
      </c>
      <c r="I58" s="9">
        <f>BS!I20</f>
        <v>2104443</v>
      </c>
      <c r="J58" s="9">
        <f>BS!J20</f>
        <v>2139143</v>
      </c>
      <c r="K58" s="9">
        <f>BS!K20</f>
        <v>2216592</v>
      </c>
      <c r="L58" s="9">
        <f>BS!L20</f>
        <v>2149592</v>
      </c>
      <c r="M58" s="9">
        <f>BS!M20</f>
        <v>2082592</v>
      </c>
      <c r="N58" s="9">
        <f>BS!N20</f>
        <v>2015592</v>
      </c>
      <c r="O58" s="9">
        <f>BS!O20</f>
        <v>1948592</v>
      </c>
      <c r="P58" s="9">
        <f>BS!P20</f>
        <v>1881592</v>
      </c>
    </row>
    <row r="59" spans="1:16" ht="15" customHeight="1" x14ac:dyDescent="0.2">
      <c r="A59" t="s">
        <v>64</v>
      </c>
      <c r="B59" s="9">
        <f>BS!B21</f>
        <v>0</v>
      </c>
      <c r="C59" s="9">
        <f>BS!C21</f>
        <v>0</v>
      </c>
      <c r="D59" s="9">
        <f>BS!D21</f>
        <v>53350</v>
      </c>
      <c r="E59" s="9">
        <f>BS!E21</f>
        <v>0</v>
      </c>
      <c r="F59" s="9">
        <f>BS!F21</f>
        <v>7029</v>
      </c>
      <c r="G59" s="9">
        <f>BS!G21</f>
        <v>61730</v>
      </c>
      <c r="H59" s="9">
        <f>BS!H21</f>
        <v>121014</v>
      </c>
      <c r="I59" s="9">
        <f>BS!I21</f>
        <v>40877</v>
      </c>
      <c r="J59" s="9">
        <f>BS!J21</f>
        <v>54738</v>
      </c>
      <c r="K59" s="9">
        <f>BS!K21</f>
        <v>74754</v>
      </c>
      <c r="L59" s="9">
        <f>BS!L21</f>
        <v>128111.82878447983</v>
      </c>
      <c r="M59" s="9">
        <f>BS!M21</f>
        <v>174933.03574110696</v>
      </c>
      <c r="N59" s="9">
        <f>BS!N21</f>
        <v>214855.04862485483</v>
      </c>
      <c r="O59" s="9">
        <f>BS!O21</f>
        <v>246852.97498416004</v>
      </c>
      <c r="P59" s="9">
        <f>BS!P21</f>
        <v>271415.95273556979</v>
      </c>
    </row>
    <row r="60" spans="1:16" ht="15" customHeight="1" x14ac:dyDescent="0.2">
      <c r="A60" t="s">
        <v>65</v>
      </c>
      <c r="B60" s="9">
        <f>BS!B22</f>
        <v>997514</v>
      </c>
      <c r="C60" s="9">
        <f>BS!C22</f>
        <v>1088507</v>
      </c>
      <c r="D60" s="9">
        <f>BS!D22</f>
        <v>1345826</v>
      </c>
      <c r="E60" s="9">
        <f>BS!E22</f>
        <v>1438270</v>
      </c>
      <c r="F60" s="9">
        <f>BS!F22</f>
        <v>1638718</v>
      </c>
      <c r="G60" s="9">
        <f>BS!G22</f>
        <v>1977064</v>
      </c>
      <c r="H60" s="9">
        <f>BS!H22</f>
        <v>2100456</v>
      </c>
      <c r="I60" s="9">
        <f>BS!I22</f>
        <v>2145320</v>
      </c>
      <c r="J60" s="9">
        <f>BS!J22</f>
        <v>2193881</v>
      </c>
      <c r="K60" s="9">
        <f>BS!K22</f>
        <v>2291346</v>
      </c>
      <c r="L60" s="9">
        <f>BS!L22</f>
        <v>2277703.8287844798</v>
      </c>
      <c r="M60" s="9">
        <f>BS!M22</f>
        <v>2257525.0357411071</v>
      </c>
      <c r="N60" s="9">
        <f>BS!N22</f>
        <v>2230447.048624855</v>
      </c>
      <c r="O60" s="9">
        <f>BS!O22</f>
        <v>2195444.9749841602</v>
      </c>
      <c r="P60" s="9">
        <f>BS!P22</f>
        <v>2153007.9527355698</v>
      </c>
    </row>
    <row r="61" spans="1:16" ht="15" customHeight="1" x14ac:dyDescent="0.2">
      <c r="A61" t="s">
        <v>66</v>
      </c>
      <c r="B61" s="9">
        <f>BS!B37</f>
        <v>750450</v>
      </c>
      <c r="C61" s="9">
        <f>BS!C37</f>
        <v>967722</v>
      </c>
      <c r="D61" s="9">
        <f>BS!D37</f>
        <v>1168814</v>
      </c>
      <c r="E61" s="9">
        <f>BS!E37</f>
        <v>1602254</v>
      </c>
      <c r="F61" s="9">
        <f>BS!F37</f>
        <v>1768129</v>
      </c>
      <c r="G61" s="9">
        <f>BS!G37</f>
        <v>2111327</v>
      </c>
      <c r="H61" s="9">
        <f>BS!H37</f>
        <v>2273169</v>
      </c>
      <c r="I61" s="9">
        <f>BS!I37</f>
        <v>2482600</v>
      </c>
      <c r="J61" s="9">
        <f>BS!J37</f>
        <v>3089952</v>
      </c>
      <c r="K61" s="9">
        <f>BS!K37</f>
        <v>3063647</v>
      </c>
      <c r="L61" s="9">
        <f>BS!L37</f>
        <v>2873768.3629655214</v>
      </c>
      <c r="M61" s="9">
        <f>BS!M37</f>
        <v>3046743.5286286711</v>
      </c>
      <c r="N61" s="9">
        <f>BS!N37</f>
        <v>3231069.0671603433</v>
      </c>
      <c r="O61" s="9">
        <f>BS!O37</f>
        <v>3427899.5393902198</v>
      </c>
      <c r="P61" s="9">
        <f>BS!P37</f>
        <v>3636879.2531555607</v>
      </c>
    </row>
    <row r="62" spans="1:16" ht="15" customHeight="1" x14ac:dyDescent="0.2">
      <c r="A62" t="s">
        <v>67</v>
      </c>
      <c r="B62" s="9">
        <f>BS!B40</f>
        <v>972862</v>
      </c>
      <c r="C62" s="9">
        <f>BS!C40</f>
        <v>1076507</v>
      </c>
      <c r="D62" s="9">
        <f>BS!D40</f>
        <v>1342037</v>
      </c>
      <c r="E62" s="9">
        <f>BS!E40</f>
        <v>1425469</v>
      </c>
      <c r="F62" s="9">
        <f>BS!F40</f>
        <v>1636162</v>
      </c>
      <c r="G62" s="9">
        <f>BS!G40</f>
        <v>1976629</v>
      </c>
      <c r="H62" s="9">
        <f>BS!H40</f>
        <v>2091306</v>
      </c>
      <c r="I62" s="9">
        <f>BS!I40</f>
        <v>2131233</v>
      </c>
      <c r="J62" s="9">
        <f>BS!J40</f>
        <v>2180670</v>
      </c>
      <c r="K62" s="9">
        <f>BS!K40</f>
        <v>2281470</v>
      </c>
      <c r="L62" s="9">
        <f>BS!L40</f>
        <v>2277703.8287844798</v>
      </c>
      <c r="M62" s="9">
        <f>BS!M40</f>
        <v>2257525.0357411071</v>
      </c>
      <c r="N62" s="9">
        <f>BS!N40</f>
        <v>2230447.048624855</v>
      </c>
      <c r="O62" s="9">
        <f>BS!O40</f>
        <v>2195444.9749841602</v>
      </c>
      <c r="P62" s="9">
        <f>BS!P40</f>
        <v>2153007.9527355698</v>
      </c>
    </row>
    <row r="64" spans="1:16" ht="15" customHeight="1" x14ac:dyDescent="0.2">
      <c r="A64" t="s">
        <v>68</v>
      </c>
      <c r="B64" s="10">
        <f>BS!B41</f>
        <v>10.450543548317793</v>
      </c>
      <c r="C64" s="10">
        <f>BS!C41</f>
        <v>10.494828174506459</v>
      </c>
      <c r="D64" s="10">
        <f>BS!D41</f>
        <v>11.007250477760554</v>
      </c>
      <c r="E64" s="10">
        <f>BS!E41</f>
        <v>10.043889687438348</v>
      </c>
      <c r="F64" s="10">
        <f>BS!F41</f>
        <v>10.863063266430748</v>
      </c>
      <c r="G64" s="10">
        <f>BS!G41</f>
        <v>11.876139319982936</v>
      </c>
      <c r="H64" s="10">
        <f>BS!H41</f>
        <v>10.791609474173073</v>
      </c>
      <c r="I64" s="10">
        <f>BS!I41</f>
        <v>10.334704031112253</v>
      </c>
      <c r="J64" s="10">
        <f>BS!J41</f>
        <v>10.020954823055821</v>
      </c>
      <c r="K64" s="10">
        <f>BS!K41</f>
        <v>9.6756504590852224</v>
      </c>
      <c r="L64" s="10">
        <f>BS!L41</f>
        <v>9.5201750778945957</v>
      </c>
      <c r="M64" s="10">
        <f>BS!M41</f>
        <v>9.1522315105139107</v>
      </c>
      <c r="N64" s="10">
        <f>BS!N41</f>
        <v>8.7707427125204784</v>
      </c>
      <c r="O64" s="10">
        <f>BS!O41</f>
        <v>8.3875137297053115</v>
      </c>
      <c r="P64" s="10">
        <f>BS!P41</f>
        <v>7.9914271499551637</v>
      </c>
    </row>
    <row r="65" spans="1:16" ht="15" customHeight="1" x14ac:dyDescent="0.2">
      <c r="A65" t="s">
        <v>69</v>
      </c>
      <c r="B65" s="4">
        <f>BS!B42</f>
        <v>0.50186025287364422</v>
      </c>
      <c r="C65" s="4">
        <f>BS!C42</f>
        <v>0.47096845375366148</v>
      </c>
      <c r="D65" s="4">
        <f>BS!D42</f>
        <v>0.47649877531771284</v>
      </c>
      <c r="E65" s="4">
        <f>BS!E42</f>
        <v>0.42551107955385936</v>
      </c>
      <c r="F65" s="4">
        <f>BS!F42</f>
        <v>0.4339181689156269</v>
      </c>
      <c r="G65" s="4">
        <f>BS!G42</f>
        <v>0.43181412630798643</v>
      </c>
      <c r="H65" s="4">
        <f>BS!H42</f>
        <v>0.43223439303800987</v>
      </c>
      <c r="I65" s="4">
        <f>BS!I42</f>
        <v>0.42264287138364259</v>
      </c>
      <c r="J65" s="4">
        <f>BS!J42</f>
        <v>0.40326100342808829</v>
      </c>
      <c r="K65" s="4">
        <f>BS!K42</f>
        <v>0.41605591702508471</v>
      </c>
      <c r="L65" s="4">
        <f>BS!L42</f>
        <v>0.43028784414314641</v>
      </c>
      <c r="M65" s="4">
        <f>BS!M42</f>
        <v>0.41451086085545735</v>
      </c>
      <c r="N65" s="4">
        <f>BS!N42</f>
        <v>0.39804632375934951</v>
      </c>
      <c r="O65" s="4">
        <f>BS!O42</f>
        <v>0.38080229092625623</v>
      </c>
      <c r="P65" s="4">
        <f>BS!P42</f>
        <v>0.36295680728749569</v>
      </c>
    </row>
    <row r="67" spans="1:16" ht="15" customHeight="1" x14ac:dyDescent="0.2">
      <c r="A67" s="2" t="s">
        <v>70</v>
      </c>
    </row>
    <row r="68" spans="1:16" ht="15" customHeight="1" x14ac:dyDescent="0.2">
      <c r="A68" s="5" t="s">
        <v>71</v>
      </c>
      <c r="B68" s="11">
        <f>IS!B140</f>
        <v>109219.26400000001</v>
      </c>
      <c r="C68" s="11">
        <f>IS!C140</f>
        <v>120750.56</v>
      </c>
      <c r="D68" s="11">
        <f>IS!D140</f>
        <v>141276.19199999998</v>
      </c>
      <c r="E68" s="11">
        <f>IS!E140</f>
        <v>155839.72799999997</v>
      </c>
      <c r="F68" s="11">
        <f>IS!F140</f>
        <v>173059.76199999999</v>
      </c>
      <c r="G68" s="11">
        <f>IS!G140</f>
        <v>191847.04499999998</v>
      </c>
      <c r="H68" s="11">
        <f>IS!H140</f>
        <v>223051.13600000003</v>
      </c>
      <c r="I68" s="11">
        <f>IS!I140</f>
        <v>242638.56899999999</v>
      </c>
      <c r="J68" s="11">
        <f>IS!J140</f>
        <v>255150.34099999999</v>
      </c>
      <c r="K68" s="11">
        <f>IS!K140</f>
        <v>262251.55958750006</v>
      </c>
      <c r="L68" s="11">
        <f>IF(IS!L140=0,"",IS!L140)</f>
        <v>269891.37821848894</v>
      </c>
      <c r="M68" s="11">
        <f>IF(IS!M140=0,"",IS!M140)</f>
        <v>277753.75578925991</v>
      </c>
      <c r="N68" s="11">
        <f>IF(IS!N140=0,"",IS!N140)</f>
        <v>285845.17571871902</v>
      </c>
      <c r="O68" s="11">
        <f>IF(IS!O140=0,"",IS!O140)</f>
        <v>294172.31029455655</v>
      </c>
      <c r="P68" s="11" t="str">
        <f>IF(IS!P140=0,"",IS!P140)</f>
        <v/>
      </c>
    </row>
    <row r="69" spans="1:16" ht="15" customHeight="1" x14ac:dyDescent="0.2">
      <c r="A69" s="5" t="s">
        <v>72</v>
      </c>
      <c r="B69" s="11">
        <f>IS!B18</f>
        <v>105424</v>
      </c>
      <c r="C69" s="11">
        <f>IS!C18</f>
        <v>115220</v>
      </c>
      <c r="D69" s="11">
        <f>IS!D18</f>
        <v>135712</v>
      </c>
      <c r="E69" s="11">
        <f>IS!E18</f>
        <v>152336</v>
      </c>
      <c r="F69" s="11">
        <f>IS!F18</f>
        <v>164662</v>
      </c>
      <c r="G69" s="11">
        <f>IS!G18</f>
        <v>183235</v>
      </c>
      <c r="H69" s="11">
        <f>IS!H18</f>
        <v>206912</v>
      </c>
      <c r="I69" s="11">
        <f>IS!I18</f>
        <v>224043</v>
      </c>
      <c r="J69" s="11">
        <f>IS!J18</f>
        <v>240481</v>
      </c>
      <c r="K69" s="11">
        <f>IS!K18</f>
        <v>254828</v>
      </c>
      <c r="L69" s="11">
        <f>IS!L18</f>
        <v>262251.55958750006</v>
      </c>
      <c r="M69" s="11">
        <f>IS!M18</f>
        <v>269891.37821848894</v>
      </c>
      <c r="N69" s="11">
        <f>IS!N18</f>
        <v>277753.75578925991</v>
      </c>
      <c r="O69" s="11">
        <f>IS!O18</f>
        <v>285845.17571871902</v>
      </c>
      <c r="P69" s="11">
        <f>IS!P18</f>
        <v>294172.31029455655</v>
      </c>
    </row>
    <row r="70" spans="1:16" ht="15" customHeight="1" x14ac:dyDescent="0.2">
      <c r="A70" t="s">
        <v>73</v>
      </c>
      <c r="B70" s="12">
        <f>BS!B47</f>
        <v>5.4899999999999997E-2</v>
      </c>
      <c r="C70" s="12">
        <f>BS!C47</f>
        <v>5.3699999999999998E-2</v>
      </c>
      <c r="D70" s="12">
        <f>BS!D47</f>
        <v>4.8500000000000001E-2</v>
      </c>
      <c r="E70" s="12">
        <f>BS!E47</f>
        <v>4.5900000000000003E-2</v>
      </c>
      <c r="F70" s="12">
        <f>BS!F47</f>
        <v>4.6699999999999998E-2</v>
      </c>
      <c r="G70" s="12">
        <f>BS!G47</f>
        <v>4.41E-2</v>
      </c>
      <c r="H70" s="12">
        <f>BS!H47</f>
        <v>4.2999999999999997E-2</v>
      </c>
      <c r="I70" s="12">
        <f>BS!I47</f>
        <v>4.5499999999999999E-2</v>
      </c>
      <c r="J70" s="12">
        <f>BS!J47</f>
        <v>4.6199999999999998E-2</v>
      </c>
      <c r="K70" s="12">
        <f>BS!K47</f>
        <v>4.6800000000000001E-2</v>
      </c>
      <c r="L70" s="12">
        <f>BS!L47</f>
        <v>0.05</v>
      </c>
      <c r="M70" s="12">
        <f>BS!M47</f>
        <v>0.05</v>
      </c>
      <c r="N70" s="12">
        <f>BS!N47</f>
        <v>0.05</v>
      </c>
      <c r="O70" s="12">
        <f>BS!O47</f>
        <v>0.05</v>
      </c>
      <c r="P70" s="12">
        <f>BS!P47</f>
        <v>0.05</v>
      </c>
    </row>
    <row r="71" spans="1:16" ht="15" customHeight="1" x14ac:dyDescent="0.2">
      <c r="A71" s="7" t="s">
        <v>74</v>
      </c>
      <c r="B71" s="13">
        <f t="shared" ref="B71:P71" si="0">B128</f>
        <v>797062.93078324245</v>
      </c>
      <c r="C71" s="13">
        <f t="shared" si="0"/>
        <v>936572.78026070772</v>
      </c>
      <c r="D71" s="13">
        <f t="shared" si="0"/>
        <v>1282032.1752577317</v>
      </c>
      <c r="E71" s="13">
        <f t="shared" si="0"/>
        <v>1676851.0457516331</v>
      </c>
      <c r="F71" s="13">
        <f t="shared" si="0"/>
        <v>1731987.4882226977</v>
      </c>
      <c r="G71" s="13">
        <f t="shared" si="0"/>
        <v>1920723.1292516999</v>
      </c>
      <c r="H71" s="13">
        <f t="shared" si="0"/>
        <v>2647603.7209302336</v>
      </c>
      <c r="I71" s="13">
        <f t="shared" si="0"/>
        <v>2787509.8021978019</v>
      </c>
      <c r="J71" s="13">
        <f t="shared" si="0"/>
        <v>3227966.653679654</v>
      </c>
      <c r="K71" s="13">
        <f t="shared" si="0"/>
        <v>2859662.1917500012</v>
      </c>
      <c r="L71" s="13">
        <f t="shared" si="0"/>
        <v>3026564.7355852984</v>
      </c>
      <c r="M71" s="13">
        <f t="shared" si="0"/>
        <v>3203991.0800440912</v>
      </c>
      <c r="N71" s="13">
        <f t="shared" si="0"/>
        <v>3392897.465749525</v>
      </c>
      <c r="O71" s="13">
        <f t="shared" si="0"/>
        <v>3594442.2309069703</v>
      </c>
      <c r="P71" s="13">
        <f t="shared" si="0"/>
        <v>3636879.2531555607</v>
      </c>
    </row>
    <row r="72" spans="1:16" ht="15" customHeight="1" x14ac:dyDescent="0.2">
      <c r="A72" t="s">
        <v>75</v>
      </c>
      <c r="B72" s="9">
        <f>BS!B57</f>
        <v>71736</v>
      </c>
      <c r="C72" s="9">
        <f>BS!C57</f>
        <v>84428</v>
      </c>
      <c r="D72" s="9">
        <f>BS!D57</f>
        <v>90213</v>
      </c>
      <c r="E72" s="9">
        <f>BS!E57</f>
        <v>97948</v>
      </c>
      <c r="F72" s="9">
        <f>BS!F57</f>
        <v>107314</v>
      </c>
      <c r="G72" s="9">
        <f>BS!G57</f>
        <v>110557</v>
      </c>
      <c r="H72" s="9">
        <f>BS!H57</f>
        <v>116801</v>
      </c>
      <c r="I72" s="9">
        <f>BS!I57</f>
        <v>118298</v>
      </c>
      <c r="J72" s="9">
        <f>BS!J57</f>
        <v>119621</v>
      </c>
      <c r="K72" s="9">
        <f>BS!K57</f>
        <v>121458</v>
      </c>
      <c r="L72" s="9">
        <f>BS!L57</f>
        <v>126315.1627093596</v>
      </c>
      <c r="M72" s="9">
        <f>BS!M57</f>
        <v>127827.21120878692</v>
      </c>
      <c r="N72" s="9">
        <f>BS!N57</f>
        <v>129357.3595991187</v>
      </c>
      <c r="O72" s="9">
        <f>BS!O57</f>
        <v>130905.82454407366</v>
      </c>
      <c r="P72" s="9">
        <f>BS!P57</f>
        <v>132472.82530093129</v>
      </c>
    </row>
    <row r="73" spans="1:16" ht="15" customHeight="1" x14ac:dyDescent="0.2">
      <c r="A73" s="7" t="s">
        <v>76</v>
      </c>
      <c r="B73" s="14">
        <f>IF(OR(B71="",BS!B57=0),"",B71/BS!B57)</f>
        <v>11.111059032887844</v>
      </c>
      <c r="C73" s="14">
        <f>IF(OR(C71="",BS!C57=0),"",C71/BS!C57)</f>
        <v>11.093153696175531</v>
      </c>
      <c r="D73" s="14">
        <f>IF(OR(D71="",BS!D57=0),"",D71/BS!D57)</f>
        <v>14.211168847701902</v>
      </c>
      <c r="E73" s="14">
        <f>IF(OR(E71="",BS!E57=0),"",E71/BS!E57)</f>
        <v>17.119808936901553</v>
      </c>
      <c r="F73" s="14">
        <f>IF(OR(F71="",BS!F57=0),"",F71/BS!F57)</f>
        <v>16.139436496847548</v>
      </c>
      <c r="G73" s="14">
        <f>IF(OR(G71="",BS!G57=0),"",G71/BS!G57)</f>
        <v>17.373148052603632</v>
      </c>
      <c r="H73" s="14">
        <f>IF(OR(H71="",BS!H57=0),"",H71/BS!H57)</f>
        <v>22.667646004145801</v>
      </c>
      <c r="I73" s="14">
        <f>IF(OR(I71="",BS!I57=0),"",I71/BS!I57)</f>
        <v>23.563456712690002</v>
      </c>
      <c r="J73" s="14">
        <f>IF(OR(J71="",BS!J57=0),"",J71/BS!J57)</f>
        <v>26.98494957975317</v>
      </c>
      <c r="K73" s="14">
        <f>IF(OR(K71="",BS!K57=0),"",K71/BS!K57)</f>
        <v>23.544453158705075</v>
      </c>
      <c r="L73" s="14">
        <f>IF(OR(L71="",BS!L57=0),"",L71/BS!L57)</f>
        <v>23.960423045562354</v>
      </c>
      <c r="M73" s="14">
        <f>IF(OR(M71="",BS!M57=0),"",M71/BS!M57)</f>
        <v>25.065015889385585</v>
      </c>
      <c r="N73" s="14">
        <f>IF(OR(N71="",BS!N57=0),"",N71/BS!N57)</f>
        <v>26.228870752032886</v>
      </c>
      <c r="O73" s="14">
        <f>IF(OR(O71="",BS!O57=0),"",O71/BS!O57)</f>
        <v>27.458229940691336</v>
      </c>
      <c r="P73" s="14">
        <f>IF(OR(P71="",BS!P57=0),"",P71/BS!P57)</f>
        <v>27.453775858511815</v>
      </c>
    </row>
    <row r="74" spans="1:16" ht="15" customHeight="1" x14ac:dyDescent="0.2">
      <c r="A74" t="s">
        <v>77</v>
      </c>
      <c r="B74" s="3">
        <f>BS!B62</f>
        <v>11.94</v>
      </c>
      <c r="C74" s="3">
        <f>BS!C62</f>
        <v>14.22</v>
      </c>
      <c r="D74" s="3">
        <f>BS!D62</f>
        <v>14.95</v>
      </c>
      <c r="E74" s="3">
        <f>BS!E62</f>
        <v>19.899999999999999</v>
      </c>
      <c r="F74" s="3">
        <f>BS!F62</f>
        <v>17.100000000000001</v>
      </c>
      <c r="G74" s="3">
        <f>BS!G62</f>
        <v>20.8</v>
      </c>
      <c r="H74" s="3">
        <f>BS!H62</f>
        <v>17.78</v>
      </c>
      <c r="I74" s="3">
        <f>BS!I62</f>
        <v>15.78</v>
      </c>
      <c r="J74" s="3">
        <f>BS!J62</f>
        <v>21.22</v>
      </c>
      <c r="K74" s="3">
        <f>BS!K62</f>
        <v>16.239999999999998</v>
      </c>
      <c r="L74" s="3">
        <f>BS!L62</f>
        <v>16.239999999999998</v>
      </c>
      <c r="M74" s="3">
        <f>BS!M62</f>
        <v>16.239999999999998</v>
      </c>
      <c r="N74" s="3">
        <f>BS!N62</f>
        <v>16.239999999999998</v>
      </c>
      <c r="O74" s="3">
        <f>BS!O62</f>
        <v>16.239999999999998</v>
      </c>
      <c r="P74" s="3">
        <f>BS!P62</f>
        <v>16.239999999999998</v>
      </c>
    </row>
    <row r="75" spans="1:16" ht="15" customHeight="1" x14ac:dyDescent="0.2">
      <c r="A75" t="s">
        <v>78</v>
      </c>
      <c r="B75" s="15">
        <f t="shared" ref="B75:P75" si="1">IF(OR(B73="",B74=0),"",(B74-B73)/B73)</f>
        <v>7.4605036716892253E-2</v>
      </c>
      <c r="C75" s="15">
        <f t="shared" si="1"/>
        <v>0.28187171921204696</v>
      </c>
      <c r="D75" s="15">
        <f t="shared" si="1"/>
        <v>5.1989471113600479E-2</v>
      </c>
      <c r="E75" s="15">
        <f t="shared" si="1"/>
        <v>0.1623961501758221</v>
      </c>
      <c r="F75" s="15">
        <f t="shared" si="1"/>
        <v>5.9516545285833035E-2</v>
      </c>
      <c r="G75" s="15">
        <f t="shared" si="1"/>
        <v>0.19724991331567007</v>
      </c>
      <c r="H75" s="15">
        <f t="shared" si="1"/>
        <v>-0.21562212517576257</v>
      </c>
      <c r="I75" s="15">
        <f t="shared" si="1"/>
        <v>-0.33031896837522373</v>
      </c>
      <c r="J75" s="15">
        <f t="shared" si="1"/>
        <v>-0.21363573656919552</v>
      </c>
      <c r="K75" s="15">
        <f t="shared" si="1"/>
        <v>-0.31024093485919019</v>
      </c>
      <c r="L75" s="15">
        <f t="shared" si="1"/>
        <v>-0.32221563996935498</v>
      </c>
      <c r="M75" s="15">
        <f t="shared" si="1"/>
        <v>-0.35208499082271727</v>
      </c>
      <c r="N75" s="15">
        <f t="shared" si="1"/>
        <v>-0.38083495269268097</v>
      </c>
      <c r="O75" s="15">
        <f t="shared" si="1"/>
        <v>-0.408556194806521</v>
      </c>
      <c r="P75" s="15">
        <f t="shared" si="1"/>
        <v>-0.40846023936030201</v>
      </c>
    </row>
    <row r="76" spans="1:16" ht="15" customHeight="1" x14ac:dyDescent="0.2">
      <c r="A76" t="s">
        <v>79</v>
      </c>
      <c r="B76" s="4">
        <f>BS!B61</f>
        <v>5.4263697563682274E-2</v>
      </c>
      <c r="C76" s="4">
        <f>BS!C61</f>
        <v>5.0540341254770783E-2</v>
      </c>
      <c r="D76" s="4">
        <f>BS!D61</f>
        <v>4.8473886243956037E-2</v>
      </c>
      <c r="E76" s="4">
        <f>BS!E61</f>
        <v>4.5875991235329476E-2</v>
      </c>
      <c r="F76" s="4">
        <f>BS!F61</f>
        <v>4.4004705608193445E-2</v>
      </c>
      <c r="G76" s="4">
        <f>BS!G61</f>
        <v>4.0352337224725532E-2</v>
      </c>
      <c r="H76" s="4">
        <f>BS!H61</f>
        <v>4.2992012343747436E-2</v>
      </c>
      <c r="I76" s="4">
        <f>BS!I61</f>
        <v>4.4560788542756025E-2</v>
      </c>
      <c r="J76" s="4">
        <f>BS!J61</f>
        <v>4.4659889465004682E-2</v>
      </c>
      <c r="K76" s="4">
        <f>BS!K61</f>
        <v>4.6765874792806625E-2</v>
      </c>
      <c r="L76" s="4">
        <f>BS!L61</f>
        <v>0.05</v>
      </c>
      <c r="M76" s="4">
        <f>BS!M61</f>
        <v>5.000000000000001E-2</v>
      </c>
      <c r="N76" s="4">
        <f>BS!N61</f>
        <v>0.05</v>
      </c>
      <c r="O76" s="4">
        <f>BS!O61</f>
        <v>0.05</v>
      </c>
      <c r="P76" s="4">
        <f>BS!P61</f>
        <v>0.05</v>
      </c>
    </row>
    <row r="77" spans="1:16" ht="15" customHeight="1" x14ac:dyDescent="0.2">
      <c r="A77" t="s">
        <v>80</v>
      </c>
      <c r="B77" s="4">
        <f>BS!B65</f>
        <v>5.97025639980596E-2</v>
      </c>
      <c r="C77" s="4">
        <f>BS!C65</f>
        <v>5.3028845151378443E-2</v>
      </c>
      <c r="D77" s="4">
        <f>BS!D65</f>
        <v>5.2504950763482071E-2</v>
      </c>
      <c r="E77" s="4">
        <f>BS!E65</f>
        <v>4.6179739421831248E-2</v>
      </c>
      <c r="F77" s="4">
        <f>BS!F65</f>
        <v>4.9855438044262901E-2</v>
      </c>
      <c r="G77" s="4">
        <f>BS!G65</f>
        <v>4.486375520068614E-2</v>
      </c>
      <c r="H77" s="4">
        <f>BS!H65</f>
        <v>5.3514791113028523E-2</v>
      </c>
      <c r="I77" s="4">
        <f>BS!I65</f>
        <v>6.0690360068845241E-2</v>
      </c>
      <c r="J77" s="4">
        <f>BS!J65</f>
        <v>5.406841441627333E-2</v>
      </c>
      <c r="K77" s="4">
        <f>BS!K65</f>
        <v>6.1648982197106933E-2</v>
      </c>
      <c r="L77" s="4">
        <f>BS!L65</f>
        <v>6.0579302231105484E-2</v>
      </c>
      <c r="M77" s="4">
        <f>BS!M65</f>
        <v>6.2281107821266425E-2</v>
      </c>
      <c r="N77" s="4">
        <f>BS!N65</f>
        <v>6.4128435086572108E-2</v>
      </c>
      <c r="O77" s="4">
        <f>BS!O65</f>
        <v>6.6147108559061432E-2</v>
      </c>
      <c r="P77" s="4">
        <f>BS!P65</f>
        <v>6.8342763337119861E-2</v>
      </c>
    </row>
    <row r="78" spans="1:16" ht="15" customHeight="1" x14ac:dyDescent="0.2">
      <c r="A78" s="7" t="s">
        <v>81</v>
      </c>
      <c r="B78" s="16">
        <f>IS!B141</f>
        <v>5.6217190675974846E-2</v>
      </c>
      <c r="C78" s="16">
        <f>IS!C141</f>
        <v>5.2966277634999774E-2</v>
      </c>
      <c r="D78" s="16">
        <f>IS!D141</f>
        <v>5.0461315579958227E-2</v>
      </c>
      <c r="E78" s="16">
        <f>IS!E141</f>
        <v>4.6931139033742048E-2</v>
      </c>
      <c r="F78" s="16">
        <f>IS!F141</f>
        <v>4.6248945594211305E-2</v>
      </c>
      <c r="G78" s="16">
        <f>IS!G141</f>
        <v>4.2248897074287625E-2</v>
      </c>
      <c r="H78" s="16">
        <f>IS!H141</f>
        <v>4.6345389306559744E-2</v>
      </c>
      <c r="I78" s="16">
        <f>IS!I141</f>
        <v>4.8259333991804772E-2</v>
      </c>
      <c r="J78" s="16">
        <f>IS!J141</f>
        <v>4.738414272236996E-2</v>
      </c>
      <c r="K78" s="16">
        <f>IS!K141</f>
        <v>4.8128241794023002E-2</v>
      </c>
      <c r="L78" s="16">
        <f>IS!L141</f>
        <v>5.1456582115851988E-2</v>
      </c>
      <c r="M78" s="16">
        <f>IS!M141</f>
        <v>5.1456581833526756E-2</v>
      </c>
      <c r="N78" s="16">
        <f>IS!N141</f>
        <v>5.1456581551249721E-2</v>
      </c>
      <c r="O78" s="16">
        <f>IS!O141</f>
        <v>5.1456581269020911E-2</v>
      </c>
      <c r="P78" s="16">
        <f>IS!P141</f>
        <v>0</v>
      </c>
    </row>
    <row r="79" spans="1:16" ht="15" customHeight="1" x14ac:dyDescent="0.2">
      <c r="A79" s="2" t="s">
        <v>82</v>
      </c>
    </row>
    <row r="80" spans="1:16" ht="15" customHeight="1" x14ac:dyDescent="0.2">
      <c r="A80" t="s">
        <v>83</v>
      </c>
      <c r="B80" s="9">
        <f>IF(Ops!B60=0,"",Ops!B60)</f>
        <v>19270</v>
      </c>
      <c r="C80" s="9">
        <f>IF(Ops!C60=0,"",Ops!C60)</f>
        <v>20383</v>
      </c>
      <c r="D80" s="9">
        <f>IF(Ops!D60=0,"",Ops!D60)</f>
        <v>21310</v>
      </c>
      <c r="E80" s="9">
        <f>IF(Ops!E60=0,"",Ops!E60)</f>
        <v>22125</v>
      </c>
      <c r="F80" s="9">
        <f>IF(Ops!F60=0,"",Ops!F60)</f>
        <v>22923</v>
      </c>
      <c r="G80" s="9">
        <f>IF(Ops!G60=0,"",Ops!G60)</f>
        <v>24560</v>
      </c>
      <c r="H80" s="9">
        <f>IF(Ops!H60=0,"",Ops!H60)</f>
        <v>25502</v>
      </c>
      <c r="I80" s="9">
        <f>IF(Ops!I60=0,"",Ops!I60)</f>
        <v>24810</v>
      </c>
      <c r="J80" s="9">
        <f>IF(Ops!J60=0,"",Ops!J60)</f>
        <v>24075</v>
      </c>
      <c r="K80" s="9">
        <f>IF(Ops!K60=0,"",Ops!K60)</f>
        <v>23603</v>
      </c>
      <c r="L80" s="9" t="str">
        <f>IF(Ops!L60=0,"",Ops!L60)</f>
        <v/>
      </c>
      <c r="M80" s="9" t="str">
        <f>IF(Ops!M60=0,"",Ops!M60)</f>
        <v/>
      </c>
      <c r="N80" s="9" t="str">
        <f>IF(Ops!N60=0,"",Ops!N60)</f>
        <v/>
      </c>
      <c r="O80" s="9" t="str">
        <f>IF(Ops!O60=0,"",Ops!O60)</f>
        <v/>
      </c>
      <c r="P80" s="9" t="str">
        <f>IF(Ops!P60=0,"",Ops!P60)</f>
        <v/>
      </c>
    </row>
    <row r="81" spans="1:16" ht="15" customHeight="1" x14ac:dyDescent="0.2">
      <c r="A81" t="s">
        <v>84</v>
      </c>
      <c r="B81" s="4">
        <f>IF(Ops!B19=0,"",Ops!B19)</f>
        <v>0.95799999999999996</v>
      </c>
      <c r="C81" s="4">
        <f>IF(Ops!C19=0,"",Ops!C19)</f>
        <v>0.96299999999999997</v>
      </c>
      <c r="D81" s="4">
        <f>IF(Ops!D19=0,"",Ops!D19)</f>
        <v>0.96299999999999997</v>
      </c>
      <c r="E81" s="4">
        <f>IF(Ops!E19=0,"",Ops!E19)</f>
        <v>0.97</v>
      </c>
      <c r="F81" s="4">
        <f>IF(Ops!F19=0,"",Ops!F19)</f>
        <v>0.96499999999999997</v>
      </c>
      <c r="G81" s="4">
        <f>IF(Ops!G19=0,"",Ops!G19)</f>
        <v>0.96599999999999997</v>
      </c>
      <c r="H81" s="4">
        <f>IF(Ops!H19=0,"",Ops!H19)</f>
        <v>0.97299999999999998</v>
      </c>
      <c r="I81" s="4">
        <f>IF(Ops!I19=0,"",Ops!I19)</f>
        <v>0.97399999999999998</v>
      </c>
      <c r="J81" s="4">
        <f>IF(Ops!J19=0,"",Ops!J19)</f>
        <v>0.96799999999999997</v>
      </c>
      <c r="K81" s="4">
        <f>IF(Ops!K19=0,"",Ops!K19)</f>
        <v>0.96599999999999997</v>
      </c>
      <c r="L81" s="4" t="str">
        <f>IF(Ops!L19=0,"",Ops!L19)</f>
        <v/>
      </c>
      <c r="M81" s="4" t="str">
        <f>IF(Ops!M19=0,"",Ops!M19)</f>
        <v/>
      </c>
      <c r="N81" s="4" t="str">
        <f>IF(Ops!N19=0,"",Ops!N19)</f>
        <v/>
      </c>
      <c r="O81" s="4" t="str">
        <f>IF(Ops!O19=0,"",Ops!O19)</f>
        <v/>
      </c>
      <c r="P81" s="4" t="str">
        <f>IF(Ops!P19=0,"",Ops!P19)</f>
        <v/>
      </c>
    </row>
    <row r="82" spans="1:16" ht="15" customHeight="1" x14ac:dyDescent="0.2">
      <c r="A82" t="s">
        <v>85</v>
      </c>
      <c r="B82" s="17">
        <f>IF(Ops!B20=0,"",Ops!B20)</f>
        <v>973</v>
      </c>
      <c r="C82" s="17">
        <f>IF(Ops!C20=0,"",Ops!C20)</f>
        <v>1018</v>
      </c>
      <c r="D82" s="17">
        <f>IF(Ops!D20=0,"",Ops!D20)</f>
        <v>1076</v>
      </c>
      <c r="E82" s="17">
        <f>IF(Ops!E20=0,"",Ops!E20)</f>
        <v>1126</v>
      </c>
      <c r="F82" s="17">
        <f>IF(Ops!F20=0,"",Ops!F20)</f>
        <v>1184</v>
      </c>
      <c r="G82" s="17">
        <f>IF(Ops!G20=0,"",Ops!G20)</f>
        <v>1227</v>
      </c>
      <c r="H82" s="17">
        <f>IF(Ops!H20=0,"",Ops!H20)</f>
        <v>1289</v>
      </c>
      <c r="I82" s="17">
        <f>IF(Ops!I20=0,"",Ops!I20)</f>
        <v>1384</v>
      </c>
      <c r="J82" s="17">
        <f>IF(Ops!J20=0,"",Ops!J20)</f>
        <v>1493</v>
      </c>
      <c r="K82" s="17">
        <f>IF(Ops!K20=0,"",Ops!K20)</f>
        <v>1600</v>
      </c>
      <c r="L82" s="17" t="str">
        <f>IF(Ops!L20=0,"",Ops!L20)</f>
        <v/>
      </c>
      <c r="M82" s="17" t="str">
        <f>IF(Ops!M20=0,"",Ops!M20)</f>
        <v/>
      </c>
      <c r="N82" s="17" t="str">
        <f>IF(Ops!N20=0,"",Ops!N20)</f>
        <v/>
      </c>
      <c r="O82" s="17" t="str">
        <f>IF(Ops!O20=0,"",Ops!O20)</f>
        <v/>
      </c>
      <c r="P82" s="17" t="str">
        <f>IF(Ops!P20=0,"",Ops!P20)</f>
        <v/>
      </c>
    </row>
    <row r="83" spans="1:16" ht="15" customHeight="1" x14ac:dyDescent="0.2">
      <c r="A83" t="s">
        <v>86</v>
      </c>
      <c r="B83" s="4">
        <f>IF(Ops!B14=0,"",Ops!B14)</f>
        <v>0.04</v>
      </c>
      <c r="C83" s="4">
        <f>IF(Ops!C14=0,"",Ops!C14)</f>
        <v>3.5999999999999997E-2</v>
      </c>
      <c r="D83" s="4">
        <f>IF(Ops!D14=0,"",Ops!D14)</f>
        <v>4.8000000000000001E-2</v>
      </c>
      <c r="E83" s="4">
        <f>IF(Ops!E14=0,"",Ops!E14)</f>
        <v>4.1000000000000002E-2</v>
      </c>
      <c r="F83" s="4">
        <f>IF(Ops!F14=0,"",Ops!F14)</f>
        <v>2.3E-2</v>
      </c>
      <c r="G83" s="4">
        <f>IF(Ops!G14=0,"",Ops!G14)</f>
        <v>5.0999999999999997E-2</v>
      </c>
      <c r="H83" s="4">
        <f>IF(Ops!H14=0,"",Ops!H14)</f>
        <v>4.7E-2</v>
      </c>
      <c r="I83" s="4">
        <f>IF(Ops!I14=0,"",Ops!I14)</f>
        <v>7.8E-2</v>
      </c>
      <c r="J83" s="4">
        <f>IF(Ops!J14=0,"",Ops!J14)</f>
        <v>8.3000000000000004E-2</v>
      </c>
      <c r="K83" s="4">
        <f>IF(Ops!K14=0,"",Ops!K14)</f>
        <v>6.0999999999999999E-2</v>
      </c>
      <c r="L83" s="4" t="str">
        <f>IF(Ops!L14=0,"",Ops!L14)</f>
        <v/>
      </c>
      <c r="M83" s="4" t="str">
        <f>IF(Ops!M14=0,"",Ops!M14)</f>
        <v/>
      </c>
      <c r="N83" s="4" t="str">
        <f>IF(Ops!N14=0,"",Ops!N14)</f>
        <v/>
      </c>
      <c r="O83" s="4" t="str">
        <f>IF(Ops!O14=0,"",Ops!O14)</f>
        <v/>
      </c>
      <c r="P83" s="4" t="str">
        <f>IF(Ops!P14=0,"",Ops!P14)</f>
        <v/>
      </c>
    </row>
    <row r="84" spans="1:16" ht="15" customHeight="1" x14ac:dyDescent="0.2">
      <c r="A84" s="18" t="s">
        <v>87</v>
      </c>
    </row>
    <row r="86" spans="1:16" ht="15" customHeight="1" x14ac:dyDescent="0.2">
      <c r="A86" s="5" t="s">
        <v>88</v>
      </c>
      <c r="B86" s="19">
        <f>BS!K62</f>
        <v>16.239999999999998</v>
      </c>
    </row>
    <row r="87" spans="1:16" ht="15" customHeight="1" x14ac:dyDescent="0.2">
      <c r="A87" s="5" t="s">
        <v>89</v>
      </c>
      <c r="B87" s="19">
        <f>K73</f>
        <v>23.544453158705075</v>
      </c>
      <c r="C87" s="4"/>
      <c r="D87" s="4"/>
      <c r="E87" s="4"/>
      <c r="F87" s="4"/>
      <c r="G87" s="4"/>
      <c r="H87" s="4"/>
      <c r="I87" s="4"/>
      <c r="J87" s="4"/>
      <c r="K87" s="4"/>
    </row>
    <row r="88" spans="1:16" ht="15" customHeight="1" x14ac:dyDescent="0.2">
      <c r="A88" s="5" t="s">
        <v>21</v>
      </c>
      <c r="B88" s="20">
        <f>IF(B87=0,"",-(1-B86/B87))</f>
        <v>-0.31024093485919024</v>
      </c>
      <c r="C88" s="4"/>
      <c r="D88" s="4"/>
      <c r="E88" s="4"/>
      <c r="F88" s="4"/>
      <c r="G88" s="4"/>
      <c r="H88" s="4"/>
      <c r="I88" s="4"/>
      <c r="J88" s="4"/>
      <c r="K88" s="4"/>
    </row>
    <row r="89" spans="1:16" ht="15" customHeight="1" x14ac:dyDescent="0.2">
      <c r="A89" s="5" t="s">
        <v>90</v>
      </c>
      <c r="B89" s="20">
        <f>IF(B86=0,"",IS!K66/B86)</f>
        <v>4.4334975369458129E-2</v>
      </c>
    </row>
    <row r="90" spans="1:16" ht="15" customHeight="1" x14ac:dyDescent="0.2">
      <c r="A90" s="2"/>
    </row>
    <row r="91" spans="1:16" ht="15" customHeight="1" x14ac:dyDescent="0.2">
      <c r="A91" s="7" t="s">
        <v>91</v>
      </c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6" ht="15" customHeight="1" x14ac:dyDescent="0.2">
      <c r="A92" s="5" t="s">
        <v>92</v>
      </c>
      <c r="B92" s="15">
        <f>'Return Profile'!P107</f>
        <v>6.2705657727109898E-2</v>
      </c>
      <c r="C92" s="3"/>
      <c r="D92" s="3"/>
      <c r="E92" s="3"/>
      <c r="F92" s="3"/>
      <c r="G92" s="3"/>
      <c r="H92" s="3"/>
      <c r="I92" s="3"/>
      <c r="J92" s="3"/>
      <c r="K92" s="3"/>
    </row>
    <row r="93" spans="1:16" ht="15" customHeight="1" x14ac:dyDescent="0.2">
      <c r="A93" s="5" t="s">
        <v>93</v>
      </c>
      <c r="B93" s="15">
        <f>'Return Profile'!P112</f>
        <v>0.14279245983256161</v>
      </c>
      <c r="C93" s="3"/>
      <c r="D93" s="3"/>
      <c r="E93" s="3"/>
      <c r="F93" s="3"/>
      <c r="G93" s="3"/>
      <c r="H93" s="3"/>
      <c r="I93" s="3"/>
      <c r="J93" s="3"/>
      <c r="K93" s="3"/>
    </row>
    <row r="94" spans="1:16" ht="15" customHeight="1" x14ac:dyDescent="0.2">
      <c r="A94" s="5"/>
      <c r="B94" s="15"/>
      <c r="C94" s="3"/>
      <c r="D94" s="3"/>
      <c r="E94" s="3"/>
      <c r="F94" s="3"/>
      <c r="G94" s="3"/>
      <c r="H94" s="3"/>
      <c r="I94" s="3"/>
      <c r="J94" s="3"/>
      <c r="K94" s="3"/>
    </row>
    <row r="95" spans="1:16" ht="15" customHeight="1" x14ac:dyDescent="0.2">
      <c r="A95" s="5"/>
      <c r="B95" s="15"/>
      <c r="C95" s="3"/>
      <c r="D95" s="3"/>
      <c r="E95" s="3"/>
      <c r="F95" s="3"/>
      <c r="G95" s="3"/>
      <c r="H95" s="3"/>
      <c r="I95" s="3"/>
      <c r="J95" s="3"/>
      <c r="K95" s="3"/>
    </row>
    <row r="96" spans="1:16" ht="15" customHeight="1" x14ac:dyDescent="0.2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6" ht="15" customHeight="1" x14ac:dyDescent="0.2">
      <c r="A97" s="7"/>
      <c r="B97" s="21"/>
    </row>
    <row r="98" spans="1:16" ht="15" customHeight="1" x14ac:dyDescent="0.2">
      <c r="A98" s="18" t="s">
        <v>94</v>
      </c>
    </row>
    <row r="99" spans="1:16" ht="15" customHeight="1" x14ac:dyDescent="0.2">
      <c r="A99" s="5" t="s">
        <v>95</v>
      </c>
    </row>
    <row r="101" spans="1:16" ht="15" customHeight="1" x14ac:dyDescent="0.2">
      <c r="A101" s="7" t="s">
        <v>96</v>
      </c>
    </row>
    <row r="102" spans="1:16" ht="15" customHeight="1" x14ac:dyDescent="0.2">
      <c r="A102" s="5" t="s">
        <v>97</v>
      </c>
      <c r="B102" s="11">
        <f>IS!B140</f>
        <v>109219.26400000001</v>
      </c>
      <c r="C102" s="11">
        <f>IS!C140</f>
        <v>120750.56</v>
      </c>
      <c r="D102" s="11">
        <f>IS!D140</f>
        <v>141276.19199999998</v>
      </c>
      <c r="E102" s="11">
        <f>IS!E140</f>
        <v>155839.72799999997</v>
      </c>
      <c r="F102" s="11">
        <f>IS!F140</f>
        <v>173059.76199999999</v>
      </c>
      <c r="G102" s="11">
        <f>IS!G140</f>
        <v>191847.04499999998</v>
      </c>
      <c r="H102" s="11">
        <f>IS!H140</f>
        <v>223051.13600000003</v>
      </c>
      <c r="I102" s="11">
        <f>IS!I140</f>
        <v>242638.56899999999</v>
      </c>
      <c r="J102" s="11">
        <f>IS!J140</f>
        <v>255150.34099999999</v>
      </c>
      <c r="K102" s="11">
        <f>IS!K140</f>
        <v>262251.55958750006</v>
      </c>
      <c r="L102" s="11">
        <f>IF(IS!L140=0,"",IS!L140)</f>
        <v>269891.37821848894</v>
      </c>
      <c r="M102" s="11">
        <f>IF(IS!M140=0,"",IS!M140)</f>
        <v>277753.75578925991</v>
      </c>
      <c r="N102" s="11">
        <f>IF(IS!N140=0,"",IS!N140)</f>
        <v>285845.17571871902</v>
      </c>
      <c r="O102" s="11">
        <f>IF(IS!O140=0,"",IS!O140)</f>
        <v>294172.31029455655</v>
      </c>
      <c r="P102" s="11" t="str">
        <f>IF(IS!P140=0,"",IS!P140)</f>
        <v/>
      </c>
    </row>
    <row r="103" spans="1:16" ht="15" customHeight="1" x14ac:dyDescent="0.2">
      <c r="A103" s="5" t="s">
        <v>98</v>
      </c>
      <c r="B103" s="16">
        <f>BS!B47</f>
        <v>5.4899999999999997E-2</v>
      </c>
      <c r="C103" s="16">
        <f>BS!C47</f>
        <v>5.3699999999999998E-2</v>
      </c>
      <c r="D103" s="16">
        <f>BS!D47</f>
        <v>4.8500000000000001E-2</v>
      </c>
      <c r="E103" s="16">
        <f>BS!E47</f>
        <v>4.5900000000000003E-2</v>
      </c>
      <c r="F103" s="16">
        <f>BS!F47</f>
        <v>4.6699999999999998E-2</v>
      </c>
      <c r="G103" s="16">
        <f>BS!G47</f>
        <v>4.41E-2</v>
      </c>
      <c r="H103" s="16">
        <f>BS!H47</f>
        <v>4.2999999999999997E-2</v>
      </c>
      <c r="I103" s="16">
        <f>BS!I47</f>
        <v>4.5499999999999999E-2</v>
      </c>
      <c r="J103" s="16">
        <f>BS!J47</f>
        <v>4.6199999999999998E-2</v>
      </c>
      <c r="K103" s="16">
        <f>Assumptions!B89</f>
        <v>0.05</v>
      </c>
      <c r="L103" s="16">
        <f>Assumptions!B89</f>
        <v>0.05</v>
      </c>
      <c r="M103" s="16">
        <f>Assumptions!B89</f>
        <v>0.05</v>
      </c>
      <c r="N103" s="16">
        <f>Assumptions!B89</f>
        <v>0.05</v>
      </c>
      <c r="O103" s="16">
        <f>Assumptions!B89</f>
        <v>0.05</v>
      </c>
      <c r="P103" s="16">
        <f>Assumptions!B89</f>
        <v>0.05</v>
      </c>
    </row>
    <row r="104" spans="1:16" ht="15" customHeight="1" x14ac:dyDescent="0.2">
      <c r="A104" s="7" t="s">
        <v>99</v>
      </c>
      <c r="B104" s="13">
        <f t="shared" ref="B104:P104" si="2">IF(OR(B102="",B102=0,B103=0),B105,B102/B103)</f>
        <v>1989421.9307832425</v>
      </c>
      <c r="C104" s="13">
        <f t="shared" si="2"/>
        <v>2248613.7802607077</v>
      </c>
      <c r="D104" s="13">
        <f t="shared" si="2"/>
        <v>2912911.1752577317</v>
      </c>
      <c r="E104" s="13">
        <f t="shared" si="2"/>
        <v>3395201.0457516331</v>
      </c>
      <c r="F104" s="13">
        <f t="shared" si="2"/>
        <v>3705776.4882226977</v>
      </c>
      <c r="G104" s="13">
        <f t="shared" si="2"/>
        <v>4350273.1292516999</v>
      </c>
      <c r="H104" s="13">
        <f t="shared" si="2"/>
        <v>5187235.7209302336</v>
      </c>
      <c r="I104" s="13">
        <f t="shared" si="2"/>
        <v>5332715.8021978019</v>
      </c>
      <c r="J104" s="13">
        <f t="shared" si="2"/>
        <v>5522734.653679654</v>
      </c>
      <c r="K104" s="13">
        <f t="shared" si="2"/>
        <v>5245031.1917500012</v>
      </c>
      <c r="L104" s="13">
        <f t="shared" si="2"/>
        <v>5397827.5643697781</v>
      </c>
      <c r="M104" s="13">
        <f t="shared" si="2"/>
        <v>5555075.1157851983</v>
      </c>
      <c r="N104" s="13">
        <f t="shared" si="2"/>
        <v>5716903.51437438</v>
      </c>
      <c r="O104" s="13">
        <f t="shared" si="2"/>
        <v>5883446.2058911305</v>
      </c>
      <c r="P104" s="13">
        <f t="shared" si="2"/>
        <v>5883446.2058911305</v>
      </c>
    </row>
    <row r="105" spans="1:16" ht="15" customHeight="1" x14ac:dyDescent="0.2">
      <c r="A105" s="5" t="s">
        <v>100</v>
      </c>
      <c r="B105" s="11">
        <f>BS!B8</f>
        <v>1942809</v>
      </c>
      <c r="C105" s="11">
        <f>BS!C8</f>
        <v>2279763</v>
      </c>
      <c r="D105" s="11">
        <f>BS!D8</f>
        <v>2799693</v>
      </c>
      <c r="E105" s="11">
        <f>BS!E8</f>
        <v>3320604</v>
      </c>
      <c r="F105" s="11">
        <f>BS!F8</f>
        <v>3741918</v>
      </c>
      <c r="G105" s="11">
        <f>BS!G8</f>
        <v>4540877</v>
      </c>
      <c r="H105" s="11">
        <f>BS!H8</f>
        <v>4812801</v>
      </c>
      <c r="I105" s="11">
        <f>BS!I8</f>
        <v>5027806</v>
      </c>
      <c r="J105" s="11">
        <f>BS!J8</f>
        <v>5384720</v>
      </c>
      <c r="K105" s="11">
        <f>BS!K8</f>
        <v>5449016</v>
      </c>
      <c r="L105" s="11">
        <f>BS!L8</f>
        <v>5245031.1917500012</v>
      </c>
      <c r="M105" s="11">
        <f>BS!M8</f>
        <v>5397827.5643697781</v>
      </c>
      <c r="N105" s="11">
        <f>BS!N8</f>
        <v>5555075.1157851983</v>
      </c>
      <c r="O105" s="11">
        <f>BS!O8</f>
        <v>5716903.51437438</v>
      </c>
      <c r="P105" s="11">
        <f>BS!P8</f>
        <v>5883446.2058911305</v>
      </c>
    </row>
    <row r="106" spans="1:16" ht="15" customHeight="1" x14ac:dyDescent="0.2">
      <c r="A106" s="5" t="s">
        <v>101</v>
      </c>
      <c r="B106" s="22">
        <f t="shared" ref="B106:P106" si="3">IF(B104="","",B104-B105)</f>
        <v>46612.930783242453</v>
      </c>
      <c r="C106" s="22">
        <f t="shared" si="3"/>
        <v>-31149.219739292283</v>
      </c>
      <c r="D106" s="22">
        <f t="shared" si="3"/>
        <v>113218.17525773169</v>
      </c>
      <c r="E106" s="22">
        <f t="shared" si="3"/>
        <v>74597.045751633123</v>
      </c>
      <c r="F106" s="22">
        <f t="shared" si="3"/>
        <v>-36141.51177730225</v>
      </c>
      <c r="G106" s="22">
        <f t="shared" si="3"/>
        <v>-190603.87074830011</v>
      </c>
      <c r="H106" s="22">
        <f t="shared" si="3"/>
        <v>374434.7209302336</v>
      </c>
      <c r="I106" s="22">
        <f t="shared" si="3"/>
        <v>304909.80219780188</v>
      </c>
      <c r="J106" s="22">
        <f t="shared" si="3"/>
        <v>138014.653679654</v>
      </c>
      <c r="K106" s="22">
        <f t="shared" si="3"/>
        <v>-203984.80824999884</v>
      </c>
      <c r="L106" s="22">
        <f t="shared" si="3"/>
        <v>152796.37261977699</v>
      </c>
      <c r="M106" s="22">
        <f t="shared" si="3"/>
        <v>157247.55141542014</v>
      </c>
      <c r="N106" s="22">
        <f t="shared" si="3"/>
        <v>161828.39858918171</v>
      </c>
      <c r="O106" s="22">
        <f t="shared" si="3"/>
        <v>166542.69151675049</v>
      </c>
      <c r="P106" s="22">
        <f t="shared" si="3"/>
        <v>0</v>
      </c>
    </row>
    <row r="108" spans="1:16" ht="15" customHeight="1" x14ac:dyDescent="0.2">
      <c r="A108" s="7" t="s">
        <v>102</v>
      </c>
    </row>
    <row r="109" spans="1:16" ht="15" customHeight="1" x14ac:dyDescent="0.2">
      <c r="A109" s="5" t="s">
        <v>103</v>
      </c>
      <c r="B109" s="11">
        <f>BS!B14</f>
        <v>24652</v>
      </c>
      <c r="C109" s="11">
        <f>BS!C14</f>
        <v>12000</v>
      </c>
      <c r="D109" s="11">
        <f>BS!D14</f>
        <v>3789</v>
      </c>
      <c r="E109" s="11">
        <f>BS!E14</f>
        <v>12801</v>
      </c>
      <c r="F109" s="11">
        <f>BS!F14</f>
        <v>2556</v>
      </c>
      <c r="G109" s="11">
        <f>BS!G14</f>
        <v>435</v>
      </c>
      <c r="H109" s="11">
        <f>BS!H14</f>
        <v>9150</v>
      </c>
      <c r="I109" s="11">
        <f>BS!I14</f>
        <v>14087</v>
      </c>
      <c r="J109" s="11">
        <f>BS!J14</f>
        <v>13211</v>
      </c>
      <c r="K109" s="11">
        <f>BS!K14</f>
        <v>9876</v>
      </c>
      <c r="L109" s="11">
        <f>BS!L14</f>
        <v>0</v>
      </c>
      <c r="M109" s="11">
        <f>BS!M14</f>
        <v>0</v>
      </c>
      <c r="N109" s="11">
        <f>BS!N14</f>
        <v>0</v>
      </c>
      <c r="O109" s="11">
        <f>BS!O14</f>
        <v>0</v>
      </c>
      <c r="P109" s="11">
        <f>BS!P14</f>
        <v>0</v>
      </c>
    </row>
    <row r="110" spans="1:16" ht="15" customHeight="1" x14ac:dyDescent="0.2">
      <c r="A110" s="5" t="s">
        <v>104</v>
      </c>
      <c r="B110" s="11">
        <f>BS!B9</f>
        <v>5737</v>
      </c>
      <c r="C110" s="11">
        <f>BS!C9</f>
        <v>5851</v>
      </c>
      <c r="D110" s="11">
        <f>BS!D9</f>
        <v>6189</v>
      </c>
      <c r="E110" s="11">
        <f>BS!E9</f>
        <v>7408</v>
      </c>
      <c r="F110" s="11">
        <f>BS!F9</f>
        <v>8349</v>
      </c>
      <c r="G110" s="11">
        <f>BS!G9</f>
        <v>12306</v>
      </c>
      <c r="H110" s="11">
        <f>BS!H9</f>
        <v>12197</v>
      </c>
      <c r="I110" s="11">
        <f>BS!I9</f>
        <v>14329</v>
      </c>
      <c r="J110" s="11">
        <f>BS!J9</f>
        <v>24255</v>
      </c>
      <c r="K110" s="11">
        <f>BS!K9</f>
        <v>18257</v>
      </c>
      <c r="L110" s="11">
        <f>BS!L9</f>
        <v>18257</v>
      </c>
      <c r="M110" s="11">
        <f>BS!M9</f>
        <v>18257</v>
      </c>
      <c r="N110" s="11">
        <f>BS!N9</f>
        <v>18257</v>
      </c>
      <c r="O110" s="11">
        <f>BS!O9</f>
        <v>18257</v>
      </c>
      <c r="P110" s="11">
        <f>BS!P9</f>
        <v>18257</v>
      </c>
    </row>
    <row r="111" spans="1:16" ht="15" customHeight="1" x14ac:dyDescent="0.2">
      <c r="A111" s="5" t="s">
        <v>105</v>
      </c>
      <c r="B111" s="11">
        <f>BS!B12</f>
        <v>14435</v>
      </c>
      <c r="C111" s="11">
        <f>BS!C12</f>
        <v>13596</v>
      </c>
      <c r="D111" s="11">
        <f>BS!D12</f>
        <v>14735</v>
      </c>
      <c r="E111" s="11">
        <f>BS!E12</f>
        <v>25124</v>
      </c>
      <c r="F111" s="11">
        <f>BS!F12</f>
        <v>23737</v>
      </c>
      <c r="G111" s="11">
        <f>BS!G12</f>
        <v>24889</v>
      </c>
      <c r="H111" s="11">
        <f>BS!H12</f>
        <v>25382</v>
      </c>
      <c r="I111" s="11">
        <f>BS!I12</f>
        <v>19742</v>
      </c>
      <c r="J111" s="11">
        <f>BS!J12</f>
        <v>18164</v>
      </c>
      <c r="K111" s="11">
        <f>BS!K12</f>
        <v>30154</v>
      </c>
      <c r="L111" s="11">
        <f>BS!L12</f>
        <v>30154</v>
      </c>
      <c r="M111" s="11">
        <f>BS!M12</f>
        <v>30154</v>
      </c>
      <c r="N111" s="11">
        <f>BS!N12</f>
        <v>30154</v>
      </c>
      <c r="O111" s="11">
        <f>BS!O12</f>
        <v>30154</v>
      </c>
      <c r="P111" s="11">
        <f>BS!P12</f>
        <v>30154</v>
      </c>
    </row>
    <row r="112" spans="1:16" ht="15" customHeight="1" x14ac:dyDescent="0.2">
      <c r="A112" s="5" t="s">
        <v>106</v>
      </c>
      <c r="B112" s="11">
        <f>BS!B15</f>
        <v>0</v>
      </c>
      <c r="C112" s="11">
        <f>BS!C15</f>
        <v>0</v>
      </c>
      <c r="D112" s="11">
        <f>BS!D15</f>
        <v>0</v>
      </c>
      <c r="E112" s="11">
        <f>BS!E15</f>
        <v>14163</v>
      </c>
      <c r="F112" s="11">
        <f>BS!F15</f>
        <v>0</v>
      </c>
      <c r="G112" s="11">
        <f>BS!G15</f>
        <v>0</v>
      </c>
      <c r="H112" s="11">
        <f>BS!H15</f>
        <v>0</v>
      </c>
      <c r="I112" s="11">
        <f>BS!I15</f>
        <v>0</v>
      </c>
      <c r="J112" s="11">
        <f>BS!J15</f>
        <v>0</v>
      </c>
      <c r="K112" s="11">
        <f>BS!K15</f>
        <v>0</v>
      </c>
      <c r="L112" s="11">
        <f>BS!L15</f>
        <v>0</v>
      </c>
      <c r="M112" s="11">
        <f>BS!M15</f>
        <v>0</v>
      </c>
      <c r="N112" s="11">
        <f>BS!N15</f>
        <v>0</v>
      </c>
      <c r="O112" s="11">
        <f>BS!O15</f>
        <v>0</v>
      </c>
      <c r="P112" s="11">
        <f>BS!P15</f>
        <v>0</v>
      </c>
    </row>
    <row r="113" spans="1:16" ht="15" customHeight="1" x14ac:dyDescent="0.2">
      <c r="A113" s="7" t="s">
        <v>107</v>
      </c>
      <c r="B113" s="13">
        <f t="shared" ref="B113:P113" si="4">B109+B110+B111+B112</f>
        <v>44824</v>
      </c>
      <c r="C113" s="13">
        <f t="shared" si="4"/>
        <v>31447</v>
      </c>
      <c r="D113" s="13">
        <f t="shared" si="4"/>
        <v>24713</v>
      </c>
      <c r="E113" s="13">
        <f t="shared" si="4"/>
        <v>59496</v>
      </c>
      <c r="F113" s="13">
        <f t="shared" si="4"/>
        <v>34642</v>
      </c>
      <c r="G113" s="13">
        <f t="shared" si="4"/>
        <v>37630</v>
      </c>
      <c r="H113" s="13">
        <f t="shared" si="4"/>
        <v>46729</v>
      </c>
      <c r="I113" s="13">
        <f t="shared" si="4"/>
        <v>48158</v>
      </c>
      <c r="J113" s="13">
        <f t="shared" si="4"/>
        <v>55630</v>
      </c>
      <c r="K113" s="13">
        <f t="shared" si="4"/>
        <v>58287</v>
      </c>
      <c r="L113" s="13">
        <f t="shared" si="4"/>
        <v>48411</v>
      </c>
      <c r="M113" s="13">
        <f t="shared" si="4"/>
        <v>48411</v>
      </c>
      <c r="N113" s="13">
        <f t="shared" si="4"/>
        <v>48411</v>
      </c>
      <c r="O113" s="13">
        <f t="shared" si="4"/>
        <v>48411</v>
      </c>
      <c r="P113" s="13">
        <f t="shared" si="4"/>
        <v>48411</v>
      </c>
    </row>
    <row r="115" spans="1:16" ht="15" customHeight="1" x14ac:dyDescent="0.2">
      <c r="A115" s="7" t="s">
        <v>108</v>
      </c>
    </row>
    <row r="116" spans="1:16" ht="15" customHeight="1" x14ac:dyDescent="0.2">
      <c r="A116" s="5" t="s">
        <v>109</v>
      </c>
      <c r="B116" s="11">
        <f>-BS!B20</f>
        <v>-997514</v>
      </c>
      <c r="C116" s="11">
        <f>-BS!C20</f>
        <v>-1088507</v>
      </c>
      <c r="D116" s="11">
        <f>-BS!D20</f>
        <v>-1292476</v>
      </c>
      <c r="E116" s="11">
        <f>-BS!E20</f>
        <v>-1438270</v>
      </c>
      <c r="F116" s="11">
        <f>-BS!F20</f>
        <v>-1631689</v>
      </c>
      <c r="G116" s="11">
        <f>-BS!G20</f>
        <v>-1915334</v>
      </c>
      <c r="H116" s="11">
        <f>-BS!H20</f>
        <v>-1979442</v>
      </c>
      <c r="I116" s="11">
        <f>-BS!I20</f>
        <v>-2104443</v>
      </c>
      <c r="J116" s="11">
        <f>-BS!J20</f>
        <v>-2139143</v>
      </c>
      <c r="K116" s="11">
        <f>-BS!K20</f>
        <v>-2216592</v>
      </c>
      <c r="L116" s="11">
        <f>-BS!L20</f>
        <v>-2149592</v>
      </c>
      <c r="M116" s="11">
        <f>-BS!M20</f>
        <v>-2082592</v>
      </c>
      <c r="N116" s="11">
        <f>-BS!N20</f>
        <v>-2015592</v>
      </c>
      <c r="O116" s="11">
        <f>-BS!O20</f>
        <v>-1948592</v>
      </c>
      <c r="P116" s="11">
        <f>-BS!P20</f>
        <v>-1881592</v>
      </c>
    </row>
    <row r="117" spans="1:16" ht="15" customHeight="1" x14ac:dyDescent="0.2">
      <c r="A117" s="5" t="s">
        <v>110</v>
      </c>
      <c r="B117" s="11">
        <f>-BS!B21</f>
        <v>0</v>
      </c>
      <c r="C117" s="11">
        <f>-BS!C21</f>
        <v>0</v>
      </c>
      <c r="D117" s="11">
        <f>-BS!D21</f>
        <v>-53350</v>
      </c>
      <c r="E117" s="11">
        <f>-BS!E21</f>
        <v>0</v>
      </c>
      <c r="F117" s="11">
        <f>-BS!F21</f>
        <v>-7029</v>
      </c>
      <c r="G117" s="11">
        <f>-BS!G21</f>
        <v>-61730</v>
      </c>
      <c r="H117" s="11">
        <f>-BS!H21</f>
        <v>-121014</v>
      </c>
      <c r="I117" s="11">
        <f>-BS!I21</f>
        <v>-40877</v>
      </c>
      <c r="J117" s="11">
        <f>-BS!J21</f>
        <v>-54738</v>
      </c>
      <c r="K117" s="11">
        <f>-BS!K21</f>
        <v>-74754</v>
      </c>
      <c r="L117" s="11">
        <f>-BS!L21</f>
        <v>-128111.82878447983</v>
      </c>
      <c r="M117" s="11">
        <f>-BS!M21</f>
        <v>-174933.03574110696</v>
      </c>
      <c r="N117" s="11">
        <f>-BS!N21</f>
        <v>-214855.04862485483</v>
      </c>
      <c r="O117" s="11">
        <f>-BS!O21</f>
        <v>-246852.97498416004</v>
      </c>
      <c r="P117" s="11">
        <f>-BS!P21</f>
        <v>-271415.95273556979</v>
      </c>
    </row>
    <row r="118" spans="1:16" ht="15" customHeight="1" x14ac:dyDescent="0.2">
      <c r="A118" s="5" t="s">
        <v>111</v>
      </c>
      <c r="B118" s="11">
        <f>-BS!B27</f>
        <v>-18509</v>
      </c>
      <c r="C118" s="11">
        <f>-BS!C27</f>
        <v>-41046</v>
      </c>
      <c r="D118" s="11">
        <f>-BS!D27</f>
        <v>-60502</v>
      </c>
      <c r="E118" s="11">
        <f>-BS!E27</f>
        <v>-24851</v>
      </c>
      <c r="F118" s="11">
        <f>-BS!F27</f>
        <v>-41345</v>
      </c>
      <c r="G118" s="11">
        <f>-BS!G27</f>
        <v>-77596</v>
      </c>
      <c r="H118" s="11">
        <f>-BS!H27</f>
        <v>-94972</v>
      </c>
      <c r="I118" s="11">
        <f>-BS!I27</f>
        <v>-29675</v>
      </c>
      <c r="J118" s="11">
        <f>-BS!J27</f>
        <v>0</v>
      </c>
      <c r="K118" s="11">
        <f>-BS!K27</f>
        <v>-10340</v>
      </c>
      <c r="L118" s="11">
        <f>-BS!L27</f>
        <v>0</v>
      </c>
      <c r="M118" s="11">
        <f>-BS!M27</f>
        <v>0</v>
      </c>
      <c r="N118" s="11">
        <f>-BS!N27</f>
        <v>0</v>
      </c>
      <c r="O118" s="11">
        <f>-BS!O27</f>
        <v>0</v>
      </c>
      <c r="P118" s="11">
        <f>-BS!P27</f>
        <v>0</v>
      </c>
    </row>
    <row r="119" spans="1:16" ht="15" customHeight="1" x14ac:dyDescent="0.2">
      <c r="A119" s="7" t="s">
        <v>112</v>
      </c>
      <c r="B119" s="13">
        <f t="shared" ref="B119:P119" si="5">B116+B117+B118</f>
        <v>-1016023</v>
      </c>
      <c r="C119" s="13">
        <f t="shared" si="5"/>
        <v>-1129553</v>
      </c>
      <c r="D119" s="13">
        <f t="shared" si="5"/>
        <v>-1406328</v>
      </c>
      <c r="E119" s="13">
        <f t="shared" si="5"/>
        <v>-1463121</v>
      </c>
      <c r="F119" s="13">
        <f t="shared" si="5"/>
        <v>-1680063</v>
      </c>
      <c r="G119" s="13">
        <f t="shared" si="5"/>
        <v>-2054660</v>
      </c>
      <c r="H119" s="13">
        <f t="shared" si="5"/>
        <v>-2195428</v>
      </c>
      <c r="I119" s="13">
        <f t="shared" si="5"/>
        <v>-2174995</v>
      </c>
      <c r="J119" s="13">
        <f t="shared" si="5"/>
        <v>-2193881</v>
      </c>
      <c r="K119" s="13">
        <f t="shared" si="5"/>
        <v>-2301686</v>
      </c>
      <c r="L119" s="13">
        <f t="shared" si="5"/>
        <v>-2277703.8287844798</v>
      </c>
      <c r="M119" s="13">
        <f t="shared" si="5"/>
        <v>-2257525.0357411071</v>
      </c>
      <c r="N119" s="13">
        <f t="shared" si="5"/>
        <v>-2230447.048624855</v>
      </c>
      <c r="O119" s="13">
        <f t="shared" si="5"/>
        <v>-2195444.9749841602</v>
      </c>
      <c r="P119" s="13">
        <f t="shared" si="5"/>
        <v>-2153007.9527355698</v>
      </c>
    </row>
    <row r="121" spans="1:16" ht="15" customHeight="1" x14ac:dyDescent="0.2">
      <c r="A121" s="7" t="s">
        <v>113</v>
      </c>
    </row>
    <row r="122" spans="1:16" ht="15" customHeight="1" x14ac:dyDescent="0.2">
      <c r="A122" s="5" t="s">
        <v>114</v>
      </c>
      <c r="B122" s="11">
        <f>-BS!B25</f>
        <v>-28198</v>
      </c>
      <c r="C122" s="11">
        <f>-BS!C25</f>
        <v>-39130</v>
      </c>
      <c r="D122" s="11">
        <f>-BS!D25</f>
        <v>-43658</v>
      </c>
      <c r="E122" s="11">
        <f>-BS!E25</f>
        <v>-46614</v>
      </c>
      <c r="F122" s="11">
        <f>-BS!F25</f>
        <v>-58906</v>
      </c>
      <c r="G122" s="11">
        <f>-BS!G25</f>
        <v>-74913</v>
      </c>
      <c r="H122" s="11">
        <f>-BS!H25</f>
        <v>-67940</v>
      </c>
      <c r="I122" s="11">
        <f>-BS!I25</f>
        <v>-63783</v>
      </c>
      <c r="J122" s="11">
        <f>-BS!J25</f>
        <v>-72445</v>
      </c>
      <c r="K122" s="11">
        <f>-BS!K25</f>
        <v>-63783</v>
      </c>
      <c r="L122" s="11">
        <f>-BS!L25</f>
        <v>-63783</v>
      </c>
      <c r="M122" s="11">
        <f>-BS!M25</f>
        <v>-63783</v>
      </c>
      <c r="N122" s="11">
        <f>-BS!N25</f>
        <v>-63783</v>
      </c>
      <c r="O122" s="11">
        <f>-BS!O25</f>
        <v>-63783</v>
      </c>
      <c r="P122" s="11">
        <f>-BS!P25</f>
        <v>-63783</v>
      </c>
    </row>
    <row r="123" spans="1:16" ht="15" customHeight="1" x14ac:dyDescent="0.2">
      <c r="A123" s="5" t="s">
        <v>115</v>
      </c>
      <c r="B123" s="11">
        <f>-BS!B26</f>
        <v>-46158</v>
      </c>
      <c r="C123" s="11">
        <f>-BS!C26</f>
        <v>-54937</v>
      </c>
      <c r="D123" s="11">
        <f>-BS!D26</f>
        <v>-66207</v>
      </c>
      <c r="E123" s="11">
        <f>-BS!E26</f>
        <v>-78668</v>
      </c>
      <c r="F123" s="11">
        <f>-BS!F26</f>
        <v>-70177</v>
      </c>
      <c r="G123" s="11">
        <f>-BS!G26</f>
        <v>-94461</v>
      </c>
      <c r="H123" s="11">
        <f>-BS!H26</f>
        <v>-63187</v>
      </c>
      <c r="I123" s="11">
        <f>-BS!I26</f>
        <v>-55153</v>
      </c>
      <c r="J123" s="11">
        <f>-BS!J26</f>
        <v>-66656</v>
      </c>
      <c r="K123" s="11">
        <f>-BS!K26</f>
        <v>-55153</v>
      </c>
      <c r="L123" s="11">
        <f>-BS!L26</f>
        <v>-55153</v>
      </c>
      <c r="M123" s="11">
        <f>-BS!M26</f>
        <v>-55153</v>
      </c>
      <c r="N123" s="11">
        <f>-BS!N26</f>
        <v>-55153</v>
      </c>
      <c r="O123" s="11">
        <f>-BS!O26</f>
        <v>-55153</v>
      </c>
      <c r="P123" s="11">
        <f>-BS!P26</f>
        <v>-55153</v>
      </c>
    </row>
    <row r="124" spans="1:16" ht="15" customHeight="1" x14ac:dyDescent="0.2">
      <c r="A124" s="5" t="s">
        <v>116</v>
      </c>
      <c r="B124" s="11">
        <f>-BS!B28</f>
        <v>-84547</v>
      </c>
      <c r="C124" s="11">
        <f>-BS!C28</f>
        <v>-103206</v>
      </c>
      <c r="D124" s="11">
        <f>-BS!D28</f>
        <v>-134684</v>
      </c>
      <c r="E124" s="11">
        <f>-BS!E28</f>
        <v>-175048</v>
      </c>
      <c r="F124" s="11">
        <f>-BS!F28</f>
        <v>-184611</v>
      </c>
      <c r="G124" s="11">
        <f>-BS!G28</f>
        <v>-227004</v>
      </c>
      <c r="H124" s="11">
        <f>-BS!H28</f>
        <v>-245817</v>
      </c>
      <c r="I124" s="11">
        <f>-BS!I28</f>
        <v>-278975</v>
      </c>
      <c r="J124" s="11">
        <f>-BS!J28</f>
        <v>0</v>
      </c>
      <c r="K124" s="11">
        <f>-BS!K28</f>
        <v>0</v>
      </c>
      <c r="L124" s="11">
        <f>-BS!L28</f>
        <v>0</v>
      </c>
      <c r="M124" s="11">
        <f>-BS!M28</f>
        <v>0</v>
      </c>
      <c r="N124" s="11">
        <f>-BS!N28</f>
        <v>0</v>
      </c>
      <c r="O124" s="11">
        <f>-BS!O28</f>
        <v>0</v>
      </c>
      <c r="P124" s="11">
        <f>-BS!P28</f>
        <v>0</v>
      </c>
    </row>
    <row r="125" spans="1:16" ht="15" customHeight="1" x14ac:dyDescent="0.2">
      <c r="A125" s="5" t="s">
        <v>117</v>
      </c>
      <c r="B125" s="11">
        <f>-BS!B29</f>
        <v>-62257</v>
      </c>
      <c r="C125" s="11">
        <f>-BS!C29</f>
        <v>-16662</v>
      </c>
      <c r="D125" s="11">
        <f>-BS!D29</f>
        <v>-4715</v>
      </c>
      <c r="E125" s="11">
        <f>-BS!E29</f>
        <v>-14395</v>
      </c>
      <c r="F125" s="11">
        <f>-BS!F29</f>
        <v>-14674</v>
      </c>
      <c r="G125" s="11">
        <f>-BS!G29</f>
        <v>-16142</v>
      </c>
      <c r="H125" s="11">
        <f>-BS!H29</f>
        <v>-13989</v>
      </c>
      <c r="I125" s="11">
        <f>-BS!I29</f>
        <v>-20458</v>
      </c>
      <c r="J125" s="11">
        <f>-BS!J29</f>
        <v>-17416</v>
      </c>
      <c r="K125" s="11">
        <f>-BS!K29</f>
        <v>-23034</v>
      </c>
      <c r="L125" s="11">
        <f>-BS!L29</f>
        <v>-23034</v>
      </c>
      <c r="M125" s="11">
        <f>-BS!M29</f>
        <v>-23034</v>
      </c>
      <c r="N125" s="11">
        <f>-BS!N29</f>
        <v>-23034</v>
      </c>
      <c r="O125" s="11">
        <f>-BS!O29</f>
        <v>-23034</v>
      </c>
      <c r="P125" s="11">
        <f>-BS!P29</f>
        <v>-23034</v>
      </c>
    </row>
    <row r="126" spans="1:16" ht="15" customHeight="1" x14ac:dyDescent="0.2">
      <c r="A126" s="7" t="s">
        <v>118</v>
      </c>
      <c r="B126" s="13">
        <f t="shared" ref="B126:P126" si="6">B122+B123+B124+B125</f>
        <v>-221160</v>
      </c>
      <c r="C126" s="13">
        <f t="shared" si="6"/>
        <v>-213935</v>
      </c>
      <c r="D126" s="13">
        <f t="shared" si="6"/>
        <v>-249264</v>
      </c>
      <c r="E126" s="13">
        <f t="shared" si="6"/>
        <v>-314725</v>
      </c>
      <c r="F126" s="13">
        <f t="shared" si="6"/>
        <v>-328368</v>
      </c>
      <c r="G126" s="13">
        <f t="shared" si="6"/>
        <v>-412520</v>
      </c>
      <c r="H126" s="13">
        <f t="shared" si="6"/>
        <v>-390933</v>
      </c>
      <c r="I126" s="13">
        <f t="shared" si="6"/>
        <v>-418369</v>
      </c>
      <c r="J126" s="13">
        <f t="shared" si="6"/>
        <v>-156517</v>
      </c>
      <c r="K126" s="13">
        <f t="shared" si="6"/>
        <v>-141970</v>
      </c>
      <c r="L126" s="13">
        <f t="shared" si="6"/>
        <v>-141970</v>
      </c>
      <c r="M126" s="13">
        <f t="shared" si="6"/>
        <v>-141970</v>
      </c>
      <c r="N126" s="13">
        <f t="shared" si="6"/>
        <v>-141970</v>
      </c>
      <c r="O126" s="13">
        <f t="shared" si="6"/>
        <v>-141970</v>
      </c>
      <c r="P126" s="13">
        <f t="shared" si="6"/>
        <v>-141970</v>
      </c>
    </row>
    <row r="128" spans="1:16" ht="15" customHeight="1" x14ac:dyDescent="0.2">
      <c r="A128" s="18" t="s">
        <v>119</v>
      </c>
      <c r="B128" s="23">
        <f t="shared" ref="B128:P128" si="7">B104+B113+B119+B126</f>
        <v>797062.93078324245</v>
      </c>
      <c r="C128" s="23">
        <f t="shared" si="7"/>
        <v>936572.78026070772</v>
      </c>
      <c r="D128" s="23">
        <f t="shared" si="7"/>
        <v>1282032.1752577317</v>
      </c>
      <c r="E128" s="23">
        <f t="shared" si="7"/>
        <v>1676851.0457516331</v>
      </c>
      <c r="F128" s="23">
        <f t="shared" si="7"/>
        <v>1731987.4882226977</v>
      </c>
      <c r="G128" s="23">
        <f t="shared" si="7"/>
        <v>1920723.1292516999</v>
      </c>
      <c r="H128" s="23">
        <f t="shared" si="7"/>
        <v>2647603.7209302336</v>
      </c>
      <c r="I128" s="23">
        <f t="shared" si="7"/>
        <v>2787509.8021978019</v>
      </c>
      <c r="J128" s="23">
        <f t="shared" si="7"/>
        <v>3227966.653679654</v>
      </c>
      <c r="K128" s="23">
        <f t="shared" si="7"/>
        <v>2859662.1917500012</v>
      </c>
      <c r="L128" s="23">
        <f t="shared" si="7"/>
        <v>3026564.7355852984</v>
      </c>
      <c r="M128" s="23">
        <f t="shared" si="7"/>
        <v>3203991.0800440912</v>
      </c>
      <c r="N128" s="23">
        <f t="shared" si="7"/>
        <v>3392897.465749525</v>
      </c>
      <c r="O128" s="23">
        <f t="shared" si="7"/>
        <v>3594442.2309069703</v>
      </c>
      <c r="P128" s="23">
        <f t="shared" si="7"/>
        <v>3636879.2531555607</v>
      </c>
    </row>
    <row r="129" spans="1:16" ht="15" customHeight="1" x14ac:dyDescent="0.2">
      <c r="A129" s="5" t="s">
        <v>120</v>
      </c>
      <c r="B129" s="6">
        <f>BS!B57</f>
        <v>71736</v>
      </c>
      <c r="C129" s="6">
        <f>BS!C57</f>
        <v>84428</v>
      </c>
      <c r="D129" s="6">
        <f>BS!D57</f>
        <v>90213</v>
      </c>
      <c r="E129" s="6">
        <f>BS!E57</f>
        <v>97948</v>
      </c>
      <c r="F129" s="6">
        <f>BS!F57</f>
        <v>107314</v>
      </c>
      <c r="G129" s="6">
        <f>BS!G57</f>
        <v>110557</v>
      </c>
      <c r="H129" s="6">
        <f>BS!H57</f>
        <v>116801</v>
      </c>
      <c r="I129" s="6">
        <f>BS!I57</f>
        <v>118298</v>
      </c>
      <c r="J129" s="6">
        <f>BS!J57</f>
        <v>119621</v>
      </c>
      <c r="K129" s="6">
        <f>BS!K57</f>
        <v>121458</v>
      </c>
      <c r="L129" s="6">
        <f>BS!L57</f>
        <v>126315.1627093596</v>
      </c>
      <c r="M129" s="6">
        <f>BS!M57</f>
        <v>127827.21120878692</v>
      </c>
      <c r="N129" s="6">
        <f>BS!N57</f>
        <v>129357.3595991187</v>
      </c>
      <c r="O129" s="6">
        <f>BS!O57</f>
        <v>130905.82454407366</v>
      </c>
      <c r="P129" s="6">
        <f>BS!P57</f>
        <v>132472.82530093129</v>
      </c>
    </row>
    <row r="130" spans="1:16" ht="15" customHeight="1" x14ac:dyDescent="0.2">
      <c r="A130" s="7" t="s">
        <v>121</v>
      </c>
      <c r="B130" s="14">
        <f t="shared" ref="B130:P130" si="8">IF(B129=0,"",B128/B129)</f>
        <v>11.111059032887844</v>
      </c>
      <c r="C130" s="14">
        <f t="shared" si="8"/>
        <v>11.093153696175531</v>
      </c>
      <c r="D130" s="14">
        <f t="shared" si="8"/>
        <v>14.211168847701902</v>
      </c>
      <c r="E130" s="14">
        <f t="shared" si="8"/>
        <v>17.119808936901553</v>
      </c>
      <c r="F130" s="14">
        <f t="shared" si="8"/>
        <v>16.139436496847548</v>
      </c>
      <c r="G130" s="14">
        <f t="shared" si="8"/>
        <v>17.373148052603632</v>
      </c>
      <c r="H130" s="14">
        <f t="shared" si="8"/>
        <v>22.667646004145801</v>
      </c>
      <c r="I130" s="14">
        <f t="shared" si="8"/>
        <v>23.563456712690002</v>
      </c>
      <c r="J130" s="14">
        <f t="shared" si="8"/>
        <v>26.98494957975317</v>
      </c>
      <c r="K130" s="14">
        <f t="shared" si="8"/>
        <v>23.544453158705075</v>
      </c>
      <c r="L130" s="14">
        <f t="shared" si="8"/>
        <v>23.960423045562354</v>
      </c>
      <c r="M130" s="14">
        <f t="shared" si="8"/>
        <v>25.065015889385585</v>
      </c>
      <c r="N130" s="14">
        <f t="shared" si="8"/>
        <v>26.228870752032886</v>
      </c>
      <c r="O130" s="14">
        <f t="shared" si="8"/>
        <v>27.458229940691336</v>
      </c>
      <c r="P130" s="14">
        <f t="shared" si="8"/>
        <v>27.453775858511815</v>
      </c>
    </row>
    <row r="131" spans="1:16" ht="15" customHeight="1" x14ac:dyDescent="0.2">
      <c r="A131" s="5" t="s">
        <v>122</v>
      </c>
      <c r="B131" s="22">
        <f t="shared" ref="B131:P131" si="9">IF(OR(B128="",B71=""),"",B128-B71)</f>
        <v>0</v>
      </c>
      <c r="C131" s="22">
        <f t="shared" si="9"/>
        <v>0</v>
      </c>
      <c r="D131" s="22">
        <f t="shared" si="9"/>
        <v>0</v>
      </c>
      <c r="E131" s="22">
        <f t="shared" si="9"/>
        <v>0</v>
      </c>
      <c r="F131" s="22">
        <f t="shared" si="9"/>
        <v>0</v>
      </c>
      <c r="G131" s="22">
        <f t="shared" si="9"/>
        <v>0</v>
      </c>
      <c r="H131" s="22">
        <f t="shared" si="9"/>
        <v>0</v>
      </c>
      <c r="I131" s="22">
        <f t="shared" si="9"/>
        <v>0</v>
      </c>
      <c r="J131" s="22">
        <f t="shared" si="9"/>
        <v>0</v>
      </c>
      <c r="K131" s="22">
        <f t="shared" si="9"/>
        <v>0</v>
      </c>
      <c r="L131" s="22">
        <f t="shared" si="9"/>
        <v>0</v>
      </c>
      <c r="M131" s="22">
        <f t="shared" si="9"/>
        <v>0</v>
      </c>
      <c r="N131" s="22">
        <f t="shared" si="9"/>
        <v>0</v>
      </c>
      <c r="O131" s="22">
        <f t="shared" si="9"/>
        <v>0</v>
      </c>
      <c r="P131" s="22">
        <f t="shared" si="9"/>
        <v>0</v>
      </c>
    </row>
    <row r="132" spans="1:16" ht="15" customHeight="1" x14ac:dyDescent="0.2">
      <c r="A132" s="2" t="s">
        <v>123</v>
      </c>
    </row>
    <row r="133" spans="1:16" ht="15" customHeight="1" x14ac:dyDescent="0.2">
      <c r="A133" t="s">
        <v>124</v>
      </c>
      <c r="B133" s="9">
        <f t="shared" ref="B133:P133" si="10">B30-B41</f>
        <v>52347</v>
      </c>
      <c r="C133" s="9">
        <f t="shared" si="10"/>
        <v>55982</v>
      </c>
      <c r="D133" s="9">
        <f t="shared" si="10"/>
        <v>66572</v>
      </c>
      <c r="E133" s="9">
        <f t="shared" si="10"/>
        <v>77647</v>
      </c>
      <c r="F133" s="9">
        <f t="shared" si="10"/>
        <v>87818</v>
      </c>
      <c r="G133" s="9">
        <f t="shared" si="10"/>
        <v>101212</v>
      </c>
      <c r="H133" s="9">
        <f t="shared" si="10"/>
        <v>112285</v>
      </c>
      <c r="I133" s="9">
        <f t="shared" si="10"/>
        <v>118168</v>
      </c>
      <c r="J133" s="9">
        <f t="shared" si="10"/>
        <v>122192</v>
      </c>
      <c r="K133" s="9">
        <f t="shared" si="10"/>
        <v>130339</v>
      </c>
      <c r="L133" s="9">
        <f t="shared" si="10"/>
        <v>132309.73881552016</v>
      </c>
      <c r="M133" s="9">
        <f t="shared" si="10"/>
        <v>139631.69256341227</v>
      </c>
      <c r="N133" s="9">
        <f t="shared" si="10"/>
        <v>147325.61932759054</v>
      </c>
      <c r="O133" s="9">
        <f t="shared" si="10"/>
        <v>156053.95184599157</v>
      </c>
      <c r="P133" s="9">
        <f t="shared" si="10"/>
        <v>164302.77362895533</v>
      </c>
    </row>
    <row r="134" spans="1:16" ht="15" customHeight="1" x14ac:dyDescent="0.2">
      <c r="A134" t="s">
        <v>125</v>
      </c>
      <c r="B134" s="3">
        <f t="shared" ref="B134:P134" si="11">IF(B32=0,"",B133/B32)</f>
        <v>0.76342078781956857</v>
      </c>
      <c r="C134" s="3">
        <f t="shared" si="11"/>
        <v>0.71171400239009386</v>
      </c>
      <c r="D134" s="3">
        <f t="shared" si="11"/>
        <v>0.76357171531800194</v>
      </c>
      <c r="E134" s="3">
        <f t="shared" si="11"/>
        <v>0.80954813687261507</v>
      </c>
      <c r="F134" s="3">
        <f t="shared" si="11"/>
        <v>0.84033951178435073</v>
      </c>
      <c r="G134" s="3">
        <f t="shared" si="11"/>
        <v>0.90670632289968289</v>
      </c>
      <c r="H134" s="3">
        <f t="shared" si="11"/>
        <v>0.93854743933732876</v>
      </c>
      <c r="I134" s="3">
        <f t="shared" si="11"/>
        <v>0.97132899322680344</v>
      </c>
      <c r="J134" s="3">
        <f t="shared" si="11"/>
        <v>0.99243845585308998</v>
      </c>
      <c r="K134" s="3">
        <f t="shared" si="11"/>
        <v>1.04650453242551</v>
      </c>
      <c r="L134" s="3">
        <f t="shared" si="11"/>
        <v>1.053689260742926</v>
      </c>
      <c r="M134" s="3">
        <f t="shared" si="11"/>
        <v>1.0988462129371976</v>
      </c>
      <c r="N134" s="3">
        <f t="shared" si="11"/>
        <v>1.1456800761009096</v>
      </c>
      <c r="O134" s="3">
        <f t="shared" si="11"/>
        <v>1.1992011268111846</v>
      </c>
      <c r="P134" s="3">
        <f t="shared" si="11"/>
        <v>1.2476544604176949</v>
      </c>
    </row>
    <row r="135" spans="1:16" ht="15" customHeight="1" x14ac:dyDescent="0.2">
      <c r="A135" t="s">
        <v>126</v>
      </c>
      <c r="B135" s="3">
        <f t="shared" ref="B135:P135" si="12">B35</f>
        <v>0.5713864866047339</v>
      </c>
      <c r="C135" s="3">
        <f t="shared" si="12"/>
        <v>0.63736682854890792</v>
      </c>
      <c r="D135" s="3">
        <f t="shared" si="12"/>
        <v>0.6710580948557664</v>
      </c>
      <c r="E135" s="3">
        <f t="shared" si="12"/>
        <v>0.70022728694455461</v>
      </c>
      <c r="F135" s="3">
        <f t="shared" si="12"/>
        <v>0.73011014037874511</v>
      </c>
      <c r="G135" s="3">
        <f t="shared" si="12"/>
        <v>0.79050355651909054</v>
      </c>
      <c r="H135" s="3">
        <f t="shared" si="12"/>
        <v>0.81265160443675444</v>
      </c>
      <c r="I135" s="3">
        <f t="shared" si="12"/>
        <v>0.83626413822581713</v>
      </c>
      <c r="J135" s="3">
        <f t="shared" si="12"/>
        <v>0.80010111839380138</v>
      </c>
      <c r="K135" s="3">
        <f t="shared" si="12"/>
        <v>0.8827976587151839</v>
      </c>
      <c r="L135" s="3">
        <f t="shared" si="12"/>
        <v>0.91441115957702657</v>
      </c>
      <c r="M135" s="3">
        <f t="shared" si="12"/>
        <v>0.95219725829435486</v>
      </c>
      <c r="N135" s="3">
        <f t="shared" si="12"/>
        <v>0.99159452340896004</v>
      </c>
      <c r="O135" s="3">
        <f t="shared" si="12"/>
        <v>1.0376114157882177</v>
      </c>
      <c r="P135" s="3">
        <f t="shared" si="12"/>
        <v>1.0784911925727636</v>
      </c>
    </row>
    <row r="136" spans="1:16" ht="15" customHeight="1" x14ac:dyDescent="0.2">
      <c r="A136" t="s">
        <v>127</v>
      </c>
      <c r="B136" s="3">
        <f t="shared" ref="B136:P136" si="13">B134-B135</f>
        <v>0.19203430121483467</v>
      </c>
      <c r="C136" s="3">
        <f t="shared" si="13"/>
        <v>7.4347173841185943E-2</v>
      </c>
      <c r="D136" s="3">
        <f t="shared" si="13"/>
        <v>9.2513620462235546E-2</v>
      </c>
      <c r="E136" s="3">
        <f t="shared" si="13"/>
        <v>0.10932084992806046</v>
      </c>
      <c r="F136" s="3">
        <f t="shared" si="13"/>
        <v>0.11022937140560563</v>
      </c>
      <c r="G136" s="3">
        <f t="shared" si="13"/>
        <v>0.11620276638059235</v>
      </c>
      <c r="H136" s="3">
        <f t="shared" si="13"/>
        <v>0.12589583490057432</v>
      </c>
      <c r="I136" s="3">
        <f t="shared" si="13"/>
        <v>0.13506485500098631</v>
      </c>
      <c r="J136" s="3">
        <f t="shared" si="13"/>
        <v>0.1923373374592886</v>
      </c>
      <c r="K136" s="3">
        <f t="shared" si="13"/>
        <v>0.16370687371032611</v>
      </c>
      <c r="L136" s="3">
        <f t="shared" si="13"/>
        <v>0.13927810116589945</v>
      </c>
      <c r="M136" s="3">
        <f t="shared" si="13"/>
        <v>0.14664895464284278</v>
      </c>
      <c r="N136" s="3">
        <f t="shared" si="13"/>
        <v>0.15408555269194957</v>
      </c>
      <c r="O136" s="3">
        <f t="shared" si="13"/>
        <v>0.16158971102296693</v>
      </c>
      <c r="P136" s="3">
        <f t="shared" si="13"/>
        <v>0.1691632678449313</v>
      </c>
    </row>
    <row r="137" spans="1:16" ht="15" customHeight="1" x14ac:dyDescent="0.2">
      <c r="A137" t="s">
        <v>128</v>
      </c>
      <c r="B137" s="9">
        <f t="shared" ref="B137:P137" si="14">B42-B41</f>
        <v>9274.5999999999985</v>
      </c>
      <c r="C137" s="9">
        <f t="shared" si="14"/>
        <v>3392</v>
      </c>
      <c r="D137" s="9">
        <f t="shared" si="14"/>
        <v>5120.7999999999993</v>
      </c>
      <c r="E137" s="9">
        <f t="shared" si="14"/>
        <v>6613.3999999999978</v>
      </c>
      <c r="F137" s="9">
        <f t="shared" si="14"/>
        <v>7839.2999999999993</v>
      </c>
      <c r="G137" s="9">
        <f t="shared" si="14"/>
        <v>9462.25</v>
      </c>
      <c r="H137" s="9">
        <f t="shared" si="14"/>
        <v>10718.8</v>
      </c>
      <c r="I137" s="9">
        <f t="shared" si="14"/>
        <v>12019.449999999997</v>
      </c>
      <c r="J137" s="9">
        <f t="shared" si="14"/>
        <v>13350.150000000001</v>
      </c>
      <c r="K137" s="9">
        <f t="shared" si="14"/>
        <v>15787.199999999997</v>
      </c>
      <c r="L137" s="9">
        <f t="shared" si="14"/>
        <v>16914.883938125007</v>
      </c>
      <c r="M137" s="9">
        <f t="shared" si="14"/>
        <v>18060.85673277334</v>
      </c>
      <c r="N137" s="9">
        <f t="shared" si="14"/>
        <v>19240.213368388984</v>
      </c>
      <c r="O137" s="9">
        <f t="shared" si="14"/>
        <v>20453.926357807853</v>
      </c>
      <c r="P137" s="9">
        <f t="shared" si="14"/>
        <v>21702.996544183479</v>
      </c>
    </row>
    <row r="139" spans="1:16" ht="15" customHeight="1" x14ac:dyDescent="0.2">
      <c r="A139" s="18" t="s">
        <v>129</v>
      </c>
    </row>
    <row r="140" spans="1:16" ht="15" customHeight="1" x14ac:dyDescent="0.2">
      <c r="A140" s="5"/>
    </row>
    <row r="141" spans="1:16" ht="15" customHeight="1" x14ac:dyDescent="0.2">
      <c r="A141" s="7"/>
      <c r="E141" s="7" t="s">
        <v>130</v>
      </c>
      <c r="F141" s="7" t="s">
        <v>131</v>
      </c>
      <c r="G141" s="7" t="s">
        <v>132</v>
      </c>
    </row>
    <row r="142" spans="1:16" ht="15" customHeight="1" x14ac:dyDescent="0.2">
      <c r="A142" s="5"/>
      <c r="B142" s="15"/>
      <c r="E142" s="5" t="s">
        <v>133</v>
      </c>
      <c r="F142" s="5" t="s">
        <v>134</v>
      </c>
    </row>
    <row r="143" spans="1:16" ht="15" customHeight="1" x14ac:dyDescent="0.2">
      <c r="A143" s="5"/>
      <c r="B143" s="15"/>
    </row>
    <row r="144" spans="1:16" ht="15" customHeight="1" x14ac:dyDescent="0.2">
      <c r="A144" s="5" t="s">
        <v>135</v>
      </c>
      <c r="B144" s="24"/>
      <c r="E144" s="15">
        <f>Amplification!H186</f>
        <v>0.15413598947543194</v>
      </c>
      <c r="F144" s="15">
        <f>Amplification!G186</f>
        <v>0.18648786166740727</v>
      </c>
      <c r="G144" s="15">
        <f>Amplification!I186</f>
        <v>0.14858725033813025</v>
      </c>
    </row>
    <row r="145" spans="1:7" ht="15" customHeight="1" x14ac:dyDescent="0.2">
      <c r="A145" s="7" t="s">
        <v>136</v>
      </c>
      <c r="E145" s="24">
        <f>Amplification!H187</f>
        <v>55.487391373016948</v>
      </c>
      <c r="F145" s="24">
        <f>Amplification!G187</f>
        <v>379.00611329277024</v>
      </c>
    </row>
    <row r="146" spans="1:7" ht="15" customHeight="1" x14ac:dyDescent="0.2">
      <c r="A146" s="5"/>
      <c r="B146" s="15"/>
    </row>
    <row r="147" spans="1:7" ht="15" customHeight="1" x14ac:dyDescent="0.2">
      <c r="A147" s="5" t="s">
        <v>137</v>
      </c>
      <c r="B147" s="15"/>
      <c r="E147" s="15">
        <f>Amplification!H189</f>
        <v>7.7140943806120799E-2</v>
      </c>
      <c r="F147" s="15">
        <f>Amplification!G189</f>
        <v>4.5228215500804358E-2</v>
      </c>
      <c r="G147" s="15">
        <f>Amplification!I189</f>
        <v>4.0409192141747541E-2</v>
      </c>
    </row>
    <row r="148" spans="1:7" ht="15" customHeight="1" x14ac:dyDescent="0.2">
      <c r="A148" s="7" t="s">
        <v>138</v>
      </c>
      <c r="B148" s="24"/>
      <c r="E148" s="24">
        <f>Amplification!H190</f>
        <v>367.31751664373257</v>
      </c>
      <c r="F148" s="24">
        <f>Amplification!G190</f>
        <v>48.190233590568177</v>
      </c>
    </row>
    <row r="150" spans="1:7" ht="15" customHeight="1" x14ac:dyDescent="0.2">
      <c r="A150" s="5" t="s">
        <v>139</v>
      </c>
      <c r="B150" s="15"/>
      <c r="E150" s="19">
        <f>Amplification!H192</f>
        <v>38.320504043316433</v>
      </c>
      <c r="F150" s="19">
        <f>Amplification!G192</f>
        <v>24.908018546885113</v>
      </c>
      <c r="G150" s="19">
        <f>Amplification!I192</f>
        <v>25.223921026198358</v>
      </c>
    </row>
    <row r="151" spans="1:7" ht="15" customHeight="1" x14ac:dyDescent="0.2">
      <c r="A151" s="5" t="s">
        <v>140</v>
      </c>
      <c r="B151" s="15"/>
      <c r="E151" s="25">
        <f>Amplification!H193</f>
        <v>4.1090191863826124</v>
      </c>
      <c r="F151" s="25">
        <f>Amplification!G193</f>
        <v>10.695439686700974</v>
      </c>
      <c r="G151" s="25">
        <f>Amplification!I193</f>
        <v>9.6756504590852224</v>
      </c>
    </row>
    <row r="152" spans="1:7" ht="15" customHeight="1" x14ac:dyDescent="0.2">
      <c r="A152" s="7"/>
      <c r="B152" s="24"/>
    </row>
    <row r="153" spans="1:7" ht="15" customHeight="1" x14ac:dyDescent="0.2">
      <c r="A153" s="7" t="s">
        <v>141</v>
      </c>
      <c r="E153" s="7" t="str">
        <f>IF(E145&gt;100,"Value Destructive",IF(E145&gt;-50,"Neutral","Amplifying"))</f>
        <v>Neutral</v>
      </c>
      <c r="F153" s="7" t="str">
        <f>IF(F145&gt;100,"Value Destructive",IF(F145&gt;-50,"Neutral","Amplifying"))</f>
        <v>Value Destructive</v>
      </c>
    </row>
    <row r="154" spans="1:7" ht="15" customHeight="1" x14ac:dyDescent="0.2">
      <c r="A154" s="5"/>
      <c r="B154" s="25"/>
    </row>
    <row r="155" spans="1:7" ht="15" customHeight="1" x14ac:dyDescent="0.2">
      <c r="A155" s="5" t="s">
        <v>142</v>
      </c>
      <c r="B155" s="25"/>
    </row>
    <row r="156" spans="1:7" ht="15" customHeight="1" x14ac:dyDescent="0.2">
      <c r="A156" s="5" t="s">
        <v>143</v>
      </c>
    </row>
    <row r="157" spans="1:7" ht="15" customHeight="1" x14ac:dyDescent="0.2">
      <c r="A157" s="5" t="s">
        <v>144</v>
      </c>
      <c r="B157" s="7"/>
    </row>
    <row r="159" spans="1:7" ht="15" customHeight="1" x14ac:dyDescent="0.2">
      <c r="A159" s="18" t="s">
        <v>145</v>
      </c>
    </row>
    <row r="161" spans="1:16" ht="15" customHeight="1" x14ac:dyDescent="0.2">
      <c r="A161" s="5" t="s">
        <v>146</v>
      </c>
      <c r="B161" s="11">
        <f>CFS!B25</f>
        <v>-46897</v>
      </c>
      <c r="C161" s="11">
        <f>CFS!C25</f>
        <v>-181459</v>
      </c>
      <c r="D161" s="11">
        <f>CFS!D25</f>
        <v>-229349</v>
      </c>
      <c r="E161" s="11">
        <f>CFS!E25</f>
        <v>-133426</v>
      </c>
      <c r="F161" s="11">
        <f>CFS!F25</f>
        <v>-206274</v>
      </c>
      <c r="G161" s="11">
        <f>CFS!G25</f>
        <v>-338068</v>
      </c>
      <c r="H161" s="11">
        <f>CFS!H25</f>
        <v>-103338</v>
      </c>
      <c r="I161" s="11">
        <f>CFS!I25</f>
        <v>-13153</v>
      </c>
      <c r="J161" s="11">
        <f>CFS!J25</f>
        <v>-17007</v>
      </c>
      <c r="K161" s="11">
        <f>CFS!K25</f>
        <v>-75580</v>
      </c>
    </row>
    <row r="162" spans="1:16" ht="15" customHeight="1" x14ac:dyDescent="0.2">
      <c r="A162" s="5" t="s">
        <v>147</v>
      </c>
      <c r="B162" s="11">
        <f>CFS!B27</f>
        <v>8</v>
      </c>
      <c r="C162" s="11">
        <f>CFS!C27</f>
        <v>0</v>
      </c>
      <c r="D162" s="11">
        <f>CFS!D27</f>
        <v>1460</v>
      </c>
      <c r="E162" s="11">
        <f>CFS!E27</f>
        <v>11520</v>
      </c>
      <c r="F162" s="11">
        <f>CFS!F27</f>
        <v>0</v>
      </c>
      <c r="G162" s="11">
        <f>CFS!G27</f>
        <v>0</v>
      </c>
      <c r="H162" s="11">
        <f>CFS!H27</f>
        <v>0</v>
      </c>
      <c r="I162" s="11">
        <f>CFS!I27</f>
        <v>91307</v>
      </c>
      <c r="J162" s="11">
        <f>CFS!J27</f>
        <v>39067</v>
      </c>
      <c r="K162" s="11">
        <f>CFS!K27</f>
        <v>81426</v>
      </c>
    </row>
    <row r="163" spans="1:16" ht="15" customHeight="1" x14ac:dyDescent="0.2">
      <c r="A163" s="5" t="s">
        <v>148</v>
      </c>
      <c r="B163" s="11">
        <f>CFS!B28</f>
        <v>-25324</v>
      </c>
      <c r="C163" s="11">
        <f>CFS!C28</f>
        <v>-53313</v>
      </c>
      <c r="D163" s="11">
        <f>CFS!D28</f>
        <v>-60477</v>
      </c>
      <c r="E163" s="11">
        <f>CFS!E28</f>
        <v>-38390</v>
      </c>
      <c r="F163" s="11">
        <f>CFS!F28</f>
        <v>-81975</v>
      </c>
      <c r="G163" s="11">
        <f>CFS!G28</f>
        <v>-77962</v>
      </c>
      <c r="H163" s="11">
        <f>CFS!H28</f>
        <v>-80077</v>
      </c>
      <c r="I163" s="11">
        <f>CFS!I28</f>
        <v>-49947</v>
      </c>
      <c r="J163" s="11">
        <f>CFS!J28</f>
        <v>-52192</v>
      </c>
      <c r="K163" s="11">
        <f>CFS!K28</f>
        <v>-74066</v>
      </c>
    </row>
    <row r="164" spans="1:16" ht="15" customHeight="1" x14ac:dyDescent="0.2">
      <c r="A164" s="5" t="s">
        <v>149</v>
      </c>
      <c r="B164" s="11">
        <f>CFS!B24</f>
        <v>-33460</v>
      </c>
      <c r="C164" s="11">
        <f>CFS!C24</f>
        <v>-31172</v>
      </c>
      <c r="D164" s="11">
        <f>CFS!D24</f>
        <v>-47814</v>
      </c>
      <c r="E164" s="11">
        <f>CFS!E24</f>
        <v>-73419</v>
      </c>
      <c r="F164" s="11">
        <f>CFS!F24</f>
        <v>-69651</v>
      </c>
      <c r="G164" s="11">
        <f>CFS!G24</f>
        <v>-76812</v>
      </c>
      <c r="H164" s="11">
        <f>CFS!H24</f>
        <v>-93920</v>
      </c>
      <c r="I164" s="11">
        <f>CFS!I24</f>
        <v>-98386</v>
      </c>
      <c r="J164" s="11">
        <f>CFS!J24</f>
        <v>-93908</v>
      </c>
      <c r="K164" s="11">
        <f>CFS!K24</f>
        <v>-79608</v>
      </c>
    </row>
    <row r="165" spans="1:16" ht="15" customHeight="1" x14ac:dyDescent="0.2">
      <c r="A165" s="5" t="s">
        <v>150</v>
      </c>
      <c r="B165" s="11">
        <f>CFS!B39</f>
        <v>0</v>
      </c>
      <c r="C165" s="11">
        <f>CFS!C39</f>
        <v>0</v>
      </c>
      <c r="D165" s="11">
        <f>CFS!D39</f>
        <v>0</v>
      </c>
      <c r="E165" s="11">
        <f>CFS!E39</f>
        <v>0</v>
      </c>
      <c r="F165" s="11">
        <f>CFS!F39</f>
        <v>0</v>
      </c>
      <c r="G165" s="11">
        <f>CFS!G39</f>
        <v>0</v>
      </c>
      <c r="H165" s="11">
        <f>CFS!H39</f>
        <v>0</v>
      </c>
      <c r="I165" s="11">
        <f>CFS!I39</f>
        <v>0</v>
      </c>
      <c r="J165" s="11">
        <f>CFS!J39</f>
        <v>-276</v>
      </c>
      <c r="K165" s="11">
        <f>CFS!K39</f>
        <v>-2484</v>
      </c>
    </row>
    <row r="166" spans="1:16" ht="15" customHeight="1" x14ac:dyDescent="0.2">
      <c r="A166" s="5" t="s">
        <v>151</v>
      </c>
      <c r="B166" s="11">
        <f>CFS!B38</f>
        <v>93491</v>
      </c>
      <c r="C166" s="11">
        <f>CFS!C38</f>
        <v>147285</v>
      </c>
      <c r="D166" s="11">
        <f>CFS!D38</f>
        <v>54852</v>
      </c>
      <c r="E166" s="11">
        <f>CFS!E38</f>
        <v>191729</v>
      </c>
      <c r="F166" s="11">
        <f>CFS!F38</f>
        <v>65782</v>
      </c>
      <c r="G166" s="11">
        <f>CFS!G38</f>
        <v>104361</v>
      </c>
      <c r="H166" s="11">
        <f>CFS!H38</f>
        <v>93471</v>
      </c>
      <c r="I166" s="11">
        <f>CFS!I38</f>
        <v>0</v>
      </c>
      <c r="J166" s="11">
        <f>CFS!J38</f>
        <v>0</v>
      </c>
      <c r="K166" s="11">
        <f>CFS!K38</f>
        <v>0</v>
      </c>
    </row>
    <row r="167" spans="1:16" ht="15" customHeight="1" x14ac:dyDescent="0.2">
      <c r="A167" s="5" t="s">
        <v>152</v>
      </c>
      <c r="B167" s="11">
        <f>CFS!B37</f>
        <v>-31515</v>
      </c>
      <c r="C167" s="11">
        <f>CFS!C37</f>
        <v>-36711</v>
      </c>
      <c r="D167" s="11">
        <f>CFS!D37</f>
        <v>-41618</v>
      </c>
      <c r="E167" s="11">
        <f>CFS!E37</f>
        <v>-45041</v>
      </c>
      <c r="F167" s="11">
        <f>CFS!F37</f>
        <v>-49633</v>
      </c>
      <c r="G167" s="11">
        <f>CFS!G37</f>
        <v>-51455</v>
      </c>
      <c r="H167" s="11">
        <f>CFS!H37</f>
        <v>-59094</v>
      </c>
      <c r="I167" s="11">
        <f>CFS!I37</f>
        <v>-57197</v>
      </c>
      <c r="J167" s="11">
        <f>CFS!J37</f>
        <v>-60487</v>
      </c>
      <c r="K167" s="11">
        <f>CFS!K37</f>
        <v>-63106</v>
      </c>
    </row>
    <row r="168" spans="1:16" ht="15" customHeight="1" x14ac:dyDescent="0.2">
      <c r="A168" s="5" t="s">
        <v>153</v>
      </c>
      <c r="B168" s="11">
        <f>CFS!B63</f>
        <v>41101</v>
      </c>
      <c r="C168" s="11">
        <f>CFS!C63</f>
        <v>48832</v>
      </c>
      <c r="D168" s="11">
        <f>CFS!D63</f>
        <v>56321</v>
      </c>
      <c r="E168" s="11">
        <f>CFS!E63</f>
        <v>63805</v>
      </c>
      <c r="F168" s="11">
        <f>CFS!F63</f>
        <v>71731</v>
      </c>
      <c r="G168" s="11">
        <f>CFS!G63</f>
        <v>77925</v>
      </c>
      <c r="H168" s="11">
        <f>CFS!H63</f>
        <v>84722</v>
      </c>
      <c r="I168" s="11">
        <f>CFS!I63</f>
        <v>86114</v>
      </c>
      <c r="J168" s="11">
        <f>CFS!J63</f>
        <v>87510</v>
      </c>
      <c r="K168" s="11">
        <f>CFS!K63</f>
        <v>90676</v>
      </c>
    </row>
    <row r="170" spans="1:16" ht="15" customHeight="1" x14ac:dyDescent="0.2">
      <c r="A170" s="7" t="s">
        <v>154</v>
      </c>
      <c r="B170" s="13">
        <f t="shared" ref="B170:K170" si="15">B161+B162+B163+B166+B165</f>
        <v>21278</v>
      </c>
      <c r="C170" s="13">
        <f t="shared" si="15"/>
        <v>-87487</v>
      </c>
      <c r="D170" s="13">
        <f t="shared" si="15"/>
        <v>-233514</v>
      </c>
      <c r="E170" s="13">
        <f t="shared" si="15"/>
        <v>31433</v>
      </c>
      <c r="F170" s="13">
        <f t="shared" si="15"/>
        <v>-222467</v>
      </c>
      <c r="G170" s="13">
        <f t="shared" si="15"/>
        <v>-311669</v>
      </c>
      <c r="H170" s="13">
        <f t="shared" si="15"/>
        <v>-89944</v>
      </c>
      <c r="I170" s="13">
        <f t="shared" si="15"/>
        <v>28207</v>
      </c>
      <c r="J170" s="13">
        <f t="shared" si="15"/>
        <v>-30408</v>
      </c>
      <c r="K170" s="13">
        <f t="shared" si="15"/>
        <v>-70704</v>
      </c>
    </row>
    <row r="171" spans="1:16" ht="15" customHeight="1" x14ac:dyDescent="0.2">
      <c r="A171" s="7" t="s">
        <v>155</v>
      </c>
      <c r="B171" s="13">
        <f>B170</f>
        <v>21278</v>
      </c>
      <c r="C171" s="13">
        <f t="shared" ref="C171:K171" si="16">B171+C170</f>
        <v>-66209</v>
      </c>
      <c r="D171" s="13">
        <f t="shared" si="16"/>
        <v>-299723</v>
      </c>
      <c r="E171" s="13">
        <f t="shared" si="16"/>
        <v>-268290</v>
      </c>
      <c r="F171" s="13">
        <f t="shared" si="16"/>
        <v>-490757</v>
      </c>
      <c r="G171" s="13">
        <f t="shared" si="16"/>
        <v>-802426</v>
      </c>
      <c r="H171" s="13">
        <f t="shared" si="16"/>
        <v>-892370</v>
      </c>
      <c r="I171" s="13">
        <f t="shared" si="16"/>
        <v>-864163</v>
      </c>
      <c r="J171" s="13">
        <f t="shared" si="16"/>
        <v>-894571</v>
      </c>
      <c r="K171" s="13">
        <f t="shared" si="16"/>
        <v>-965275</v>
      </c>
    </row>
    <row r="173" spans="1:16" ht="15" customHeight="1" x14ac:dyDescent="0.2">
      <c r="A173" s="18" t="s">
        <v>156</v>
      </c>
    </row>
    <row r="175" spans="1:16" ht="15" customHeight="1" x14ac:dyDescent="0.2">
      <c r="A175" s="5" t="s">
        <v>157</v>
      </c>
      <c r="B175" s="26">
        <v>61736</v>
      </c>
      <c r="C175" s="6">
        <f t="shared" ref="C175:P175" si="17">B179</f>
        <v>71736</v>
      </c>
      <c r="D175" s="6">
        <f t="shared" si="17"/>
        <v>84428</v>
      </c>
      <c r="E175" s="6">
        <f t="shared" si="17"/>
        <v>90213</v>
      </c>
      <c r="F175" s="6">
        <f t="shared" si="17"/>
        <v>97948</v>
      </c>
      <c r="G175" s="6">
        <f t="shared" si="17"/>
        <v>107314</v>
      </c>
      <c r="H175" s="6">
        <f t="shared" si="17"/>
        <v>110557</v>
      </c>
      <c r="I175" s="6">
        <f t="shared" si="17"/>
        <v>116801</v>
      </c>
      <c r="J175" s="6">
        <f t="shared" si="17"/>
        <v>118298</v>
      </c>
      <c r="K175" s="6">
        <f t="shared" si="17"/>
        <v>119621</v>
      </c>
      <c r="L175" s="6">
        <f t="shared" si="17"/>
        <v>121458</v>
      </c>
      <c r="M175" s="6">
        <f t="shared" si="17"/>
        <v>126315.1627093596</v>
      </c>
      <c r="N175" s="6">
        <f t="shared" si="17"/>
        <v>127827.21120878692</v>
      </c>
      <c r="O175" s="6">
        <f t="shared" si="17"/>
        <v>129357.3595991187</v>
      </c>
      <c r="P175" s="6">
        <f t="shared" si="17"/>
        <v>130905.82454407366</v>
      </c>
    </row>
    <row r="176" spans="1:16" ht="15" customHeight="1" x14ac:dyDescent="0.2">
      <c r="A176" s="5" t="s">
        <v>158</v>
      </c>
      <c r="B176" s="26">
        <f>IF(BS!B62=0,"",(CFS!B63+CFS!B37)/BS!B62)</f>
        <v>802.84757118927973</v>
      </c>
      <c r="C176" s="26">
        <f>IF(BS!C62=0,"",(CFS!C63+CFS!C37)/BS!C62)</f>
        <v>852.39099859353018</v>
      </c>
      <c r="D176" s="26">
        <f>IF(BS!D62=0,"",(CFS!D63+CFS!D37)/BS!D62)</f>
        <v>983.47826086956525</v>
      </c>
      <c r="E176" s="26">
        <f>IF(BS!E62=0,"",(CFS!E63+CFS!E37)/BS!E62)</f>
        <v>942.91457286432171</v>
      </c>
      <c r="F176" s="26">
        <f>IF(BS!F62=0,"",(CFS!F63+CFS!F37)/BS!F62)</f>
        <v>1292.2807017543857</v>
      </c>
      <c r="G176" s="26">
        <f>IF(BS!G62=0,"",(CFS!G63+CFS!G37)/BS!G62)</f>
        <v>1272.5961538461538</v>
      </c>
      <c r="H176" s="26">
        <f>IF(BS!H62=0,"",(CFS!H63+CFS!H37)/BS!H62)</f>
        <v>1441.3948256467941</v>
      </c>
      <c r="I176" s="26">
        <f>IF(BS!I62=0,"",(CFS!I63+CFS!I37)/BS!I62)</f>
        <v>1832.5095057034221</v>
      </c>
      <c r="J176" s="26">
        <f>IF(BS!J62=0,"",(CFS!J63+CFS!J37)/BS!J62)</f>
        <v>1273.4684260131951</v>
      </c>
      <c r="K176" s="26">
        <f>IF(BS!K62=0,"",(CFS!K63+CFS!K37)/BS!K62)</f>
        <v>1697.6600985221676</v>
      </c>
      <c r="L176" s="6">
        <f>Assumptions!B71</f>
        <v>1494.1627093596062</v>
      </c>
      <c r="M176" s="6">
        <f>Assumptions!C71</f>
        <v>1512.0484994273097</v>
      </c>
      <c r="N176" s="6">
        <f>Assumptions!D71</f>
        <v>1530.1483903317844</v>
      </c>
      <c r="O176" s="6">
        <f>Assumptions!E71</f>
        <v>1548.4649449549679</v>
      </c>
      <c r="P176" s="6">
        <f>Assumptions!F71</f>
        <v>1567.0007568576307</v>
      </c>
    </row>
    <row r="177" spans="1:16" ht="15" customHeight="1" x14ac:dyDescent="0.2">
      <c r="A177" s="5" t="s">
        <v>159</v>
      </c>
      <c r="B177" s="26">
        <f>IF(BS!B62=0,"",CFS!B38/BS!B62)</f>
        <v>7830.0670016750419</v>
      </c>
      <c r="C177" s="26">
        <f>IF(BS!C62=0,"",CFS!C38/BS!C62)</f>
        <v>10357.59493670886</v>
      </c>
      <c r="D177" s="26">
        <f>IF(BS!D62=0,"",CFS!D38/BS!D62)</f>
        <v>3669.0301003344484</v>
      </c>
      <c r="E177" s="26">
        <f>IF(BS!E62=0,"",CFS!E38/BS!E62)</f>
        <v>9634.6231155778896</v>
      </c>
      <c r="F177" s="26">
        <f>IF(BS!F62=0,"",CFS!F38/BS!F62)</f>
        <v>3846.9005847953213</v>
      </c>
      <c r="G177" s="26">
        <f>IF(BS!G62=0,"",CFS!G38/BS!G62)</f>
        <v>5017.3557692307695</v>
      </c>
      <c r="H177" s="26">
        <f>IF(BS!H62=0,"",CFS!H38/BS!H62)</f>
        <v>5257.0866141732276</v>
      </c>
      <c r="I177" s="26">
        <f>IF(BS!I62=0,"",CFS!I38/BS!I62)</f>
        <v>0</v>
      </c>
      <c r="J177" s="26">
        <f>IF(BS!J62=0,"",CFS!J38/BS!J62)</f>
        <v>0</v>
      </c>
      <c r="K177" s="26">
        <f>IF(BS!K62=0,"",CFS!K38/BS!K62)</f>
        <v>0</v>
      </c>
      <c r="L177" s="6">
        <f>IF(Assumptions!B28=0,0,Assumptions!B28*(1-Assumptions!B98)/Assumptions!B69)</f>
        <v>0</v>
      </c>
      <c r="M177" s="6">
        <f>IF(Assumptions!C28=0,0,Assumptions!C28*(1-Assumptions!C98)/Assumptions!C69)</f>
        <v>0</v>
      </c>
      <c r="N177" s="6">
        <f>IF(Assumptions!D28=0,0,Assumptions!D28*(1-Assumptions!D98)/Assumptions!D69)</f>
        <v>0</v>
      </c>
      <c r="O177" s="6">
        <f>IF(Assumptions!E28=0,0,Assumptions!E28*(1-Assumptions!E98)/Assumptions!E69)</f>
        <v>0</v>
      </c>
      <c r="P177" s="6">
        <f>IF(Assumptions!F28=0,0,Assumptions!F28*(1-Assumptions!F98)/Assumptions!F69)</f>
        <v>0</v>
      </c>
    </row>
    <row r="178" spans="1:16" ht="15" customHeight="1" x14ac:dyDescent="0.2">
      <c r="A178" s="5" t="s">
        <v>160</v>
      </c>
      <c r="B178" s="26">
        <f>IF(BS!B62=0,"",-CFS!B39/BS!B62)</f>
        <v>0</v>
      </c>
      <c r="C178" s="26">
        <f>IF(BS!C62=0,"",-CFS!C39/BS!C62)</f>
        <v>0</v>
      </c>
      <c r="D178" s="26">
        <f>IF(BS!D62=0,"",-CFS!D39/BS!D62)</f>
        <v>0</v>
      </c>
      <c r="E178" s="26">
        <f>IF(BS!E62=0,"",-CFS!E39/BS!E62)</f>
        <v>0</v>
      </c>
      <c r="F178" s="26">
        <f>IF(BS!F62=0,"",-CFS!F39/BS!F62)</f>
        <v>0</v>
      </c>
      <c r="G178" s="26">
        <f>IF(BS!G62=0,"",-CFS!G39/BS!G62)</f>
        <v>0</v>
      </c>
      <c r="H178" s="26">
        <f>IF(BS!H62=0,"",-CFS!H39/BS!H62)</f>
        <v>0</v>
      </c>
      <c r="I178" s="26">
        <f>IF(BS!I62=0,"",-CFS!I39/BS!I62)</f>
        <v>0</v>
      </c>
      <c r="J178" s="26">
        <f>IF(BS!J62=0,"",-CFS!J39/BS!J62)</f>
        <v>13.006597549481622</v>
      </c>
      <c r="K178" s="26">
        <f>IF(BS!K62=0,"",-CFS!K39/BS!K62)</f>
        <v>152.95566502463055</v>
      </c>
      <c r="L178" s="6">
        <f>-Assumptions!B72</f>
        <v>0</v>
      </c>
      <c r="M178" s="6">
        <f>-Assumptions!C72</f>
        <v>0</v>
      </c>
      <c r="N178" s="6">
        <f>-Assumptions!D72</f>
        <v>0</v>
      </c>
      <c r="O178" s="6">
        <f>-Assumptions!E72</f>
        <v>0</v>
      </c>
      <c r="P178" s="6">
        <f>-Assumptions!F72</f>
        <v>0</v>
      </c>
    </row>
    <row r="179" spans="1:16" ht="15" customHeight="1" x14ac:dyDescent="0.2">
      <c r="A179" s="7" t="s">
        <v>161</v>
      </c>
      <c r="B179" s="6">
        <f>BS!B57</f>
        <v>71736</v>
      </c>
      <c r="C179" s="6">
        <f>BS!C57</f>
        <v>84428</v>
      </c>
      <c r="D179" s="6">
        <f>BS!D57</f>
        <v>90213</v>
      </c>
      <c r="E179" s="6">
        <f>BS!E57</f>
        <v>97948</v>
      </c>
      <c r="F179" s="6">
        <f>BS!F57</f>
        <v>107314</v>
      </c>
      <c r="G179" s="6">
        <f>BS!G57</f>
        <v>110557</v>
      </c>
      <c r="H179" s="6">
        <f>BS!H57</f>
        <v>116801</v>
      </c>
      <c r="I179" s="6">
        <f>BS!I57</f>
        <v>118298</v>
      </c>
      <c r="J179" s="6">
        <f>BS!J57</f>
        <v>119621</v>
      </c>
      <c r="K179" s="6">
        <f>BS!K57</f>
        <v>121458</v>
      </c>
      <c r="L179" s="6">
        <f>BS!L57</f>
        <v>126315.1627093596</v>
      </c>
      <c r="M179" s="6">
        <f>BS!M57</f>
        <v>127827.21120878692</v>
      </c>
      <c r="N179" s="6">
        <f>BS!N57</f>
        <v>129357.3595991187</v>
      </c>
      <c r="O179" s="6">
        <f>BS!O57</f>
        <v>130905.82454407366</v>
      </c>
      <c r="P179" s="6">
        <f>BS!P57</f>
        <v>132472.82530093129</v>
      </c>
    </row>
    <row r="180" spans="1:16" ht="15" customHeight="1" x14ac:dyDescent="0.2">
      <c r="A180" s="5" t="s">
        <v>162</v>
      </c>
      <c r="B180" s="6">
        <f>IS!B51</f>
        <v>68569</v>
      </c>
      <c r="C180" s="6">
        <f>IS!C51</f>
        <v>78658</v>
      </c>
      <c r="D180" s="6">
        <f>IS!D51</f>
        <v>87185</v>
      </c>
      <c r="E180" s="6">
        <f>IS!E51</f>
        <v>95914</v>
      </c>
      <c r="F180" s="6">
        <f>IS!F51</f>
        <v>104503</v>
      </c>
      <c r="G180" s="6">
        <f>IS!G51</f>
        <v>111626</v>
      </c>
      <c r="H180" s="6">
        <f>IS!H51</f>
        <v>119637</v>
      </c>
      <c r="I180" s="6">
        <f>IS!I51</f>
        <v>121656</v>
      </c>
      <c r="J180" s="6">
        <f>IS!J51</f>
        <v>123123</v>
      </c>
      <c r="K180" s="6">
        <f>IS!K51</f>
        <v>124547</v>
      </c>
      <c r="L180" s="6">
        <f>IS!L51</f>
        <v>125568.0813546798</v>
      </c>
      <c r="M180" s="6">
        <f>IS!M51</f>
        <v>127071.18695907327</v>
      </c>
      <c r="N180" s="6">
        <f>IS!N51</f>
        <v>128592.28540395282</v>
      </c>
      <c r="O180" s="6">
        <f>IS!O51</f>
        <v>130131.59207159618</v>
      </c>
      <c r="P180" s="6">
        <f>IS!P51</f>
        <v>131689.32492250248</v>
      </c>
    </row>
    <row r="181" spans="1:16" ht="15" customHeight="1" x14ac:dyDescent="0.2">
      <c r="A181" s="5" t="s">
        <v>163</v>
      </c>
      <c r="C181" s="20">
        <f t="shared" ref="C181:P181" si="18">IF(B179=0,"",(C179-B179)/B179)</f>
        <v>0.17692650830824133</v>
      </c>
      <c r="D181" s="20">
        <f t="shared" si="18"/>
        <v>6.8519922300658551E-2</v>
      </c>
      <c r="E181" s="20">
        <f t="shared" si="18"/>
        <v>8.5741522840388856E-2</v>
      </c>
      <c r="F181" s="20">
        <f t="shared" si="18"/>
        <v>9.5622166864050312E-2</v>
      </c>
      <c r="G181" s="20">
        <f t="shared" si="18"/>
        <v>3.0219729019512833E-2</v>
      </c>
      <c r="H181" s="20">
        <f t="shared" si="18"/>
        <v>5.6477654060801213E-2</v>
      </c>
      <c r="I181" s="20">
        <f t="shared" si="18"/>
        <v>1.2816671090144775E-2</v>
      </c>
      <c r="J181" s="20">
        <f t="shared" si="18"/>
        <v>1.1183621024869398E-2</v>
      </c>
      <c r="K181" s="20">
        <f t="shared" si="18"/>
        <v>1.5356835338276724E-2</v>
      </c>
      <c r="L181" s="20">
        <f t="shared" si="18"/>
        <v>3.999047168041301E-2</v>
      </c>
      <c r="M181" s="20">
        <f t="shared" si="18"/>
        <v>1.1970443349753728E-2</v>
      </c>
      <c r="N181" s="20">
        <f t="shared" si="18"/>
        <v>1.1970443349753706E-2</v>
      </c>
      <c r="O181" s="20">
        <f t="shared" si="18"/>
        <v>1.1970443349753647E-2</v>
      </c>
      <c r="P181" s="20">
        <f t="shared" si="18"/>
        <v>1.1970443349753657E-2</v>
      </c>
    </row>
    <row r="182" spans="1:16" ht="15" customHeight="1" x14ac:dyDescent="0.2">
      <c r="A182" s="5" t="s">
        <v>164</v>
      </c>
      <c r="C182" s="26">
        <f t="shared" ref="C182:P182" si="19">C179-C175</f>
        <v>12692</v>
      </c>
      <c r="D182" s="26">
        <f t="shared" si="19"/>
        <v>5785</v>
      </c>
      <c r="E182" s="26">
        <f t="shared" si="19"/>
        <v>7735</v>
      </c>
      <c r="F182" s="26">
        <f t="shared" si="19"/>
        <v>9366</v>
      </c>
      <c r="G182" s="26">
        <f t="shared" si="19"/>
        <v>3243</v>
      </c>
      <c r="H182" s="26">
        <f t="shared" si="19"/>
        <v>6244</v>
      </c>
      <c r="I182" s="26">
        <f t="shared" si="19"/>
        <v>1497</v>
      </c>
      <c r="J182" s="26">
        <f t="shared" si="19"/>
        <v>1323</v>
      </c>
      <c r="K182" s="26">
        <f t="shared" si="19"/>
        <v>1837</v>
      </c>
      <c r="L182" s="26">
        <f t="shared" si="19"/>
        <v>4857.1627093596035</v>
      </c>
      <c r="M182" s="26">
        <f t="shared" si="19"/>
        <v>1512.0484994273138</v>
      </c>
      <c r="N182" s="26">
        <f t="shared" si="19"/>
        <v>1530.1483903317858</v>
      </c>
      <c r="O182" s="26">
        <f t="shared" si="19"/>
        <v>1548.4649449549615</v>
      </c>
      <c r="P182" s="26">
        <f t="shared" si="19"/>
        <v>1567.0007568576257</v>
      </c>
    </row>
    <row r="185" spans="1:16" ht="15" customHeight="1" x14ac:dyDescent="0.2">
      <c r="A185" s="27" t="s">
        <v>165</v>
      </c>
    </row>
    <row r="186" spans="1:16" ht="15" customHeight="1" x14ac:dyDescent="0.2">
      <c r="A186" t="s">
        <v>166</v>
      </c>
    </row>
    <row r="188" spans="1:16" ht="15" customHeight="1" x14ac:dyDescent="0.2">
      <c r="A188" s="27" t="s">
        <v>167</v>
      </c>
    </row>
    <row r="189" spans="1:16" ht="15" customHeight="1" x14ac:dyDescent="0.2">
      <c r="A189" t="s">
        <v>89</v>
      </c>
      <c r="B189" s="3">
        <f>BS!K58</f>
        <v>25.191207948778466</v>
      </c>
    </row>
    <row r="190" spans="1:16" ht="15" customHeight="1" x14ac:dyDescent="0.2">
      <c r="A190" t="s">
        <v>44</v>
      </c>
      <c r="B190" s="3">
        <f>IS!L66</f>
        <v>0.72</v>
      </c>
    </row>
    <row r="191" spans="1:16" ht="15" customHeight="1" x14ac:dyDescent="0.2">
      <c r="A191" t="s">
        <v>168</v>
      </c>
      <c r="B191">
        <f>IF(B189=0,"",B190/B189)</f>
        <v>2.8581400362538516E-2</v>
      </c>
    </row>
    <row r="192" spans="1:16" ht="15" customHeight="1" x14ac:dyDescent="0.2">
      <c r="A192" t="s">
        <v>169</v>
      </c>
      <c r="B192">
        <f>IF(B189=0,"",(BS!L58-BS!K58)/BS!K58)</f>
        <v>-9.6876214121930329E-2</v>
      </c>
    </row>
    <row r="193" spans="1:4" ht="15" customHeight="1" x14ac:dyDescent="0.2">
      <c r="A193" t="s">
        <v>170</v>
      </c>
      <c r="B193">
        <f>B191+B192</f>
        <v>-6.8294813759391809E-2</v>
      </c>
    </row>
    <row r="195" spans="1:4" ht="15" customHeight="1" x14ac:dyDescent="0.2">
      <c r="A195" t="s">
        <v>171</v>
      </c>
      <c r="B195" s="28">
        <f>'Return Profile'!L96</f>
        <v>-6.8294813759391865E-2</v>
      </c>
    </row>
    <row r="197" spans="1:4" ht="15" customHeight="1" x14ac:dyDescent="0.2">
      <c r="A197" t="s">
        <v>172</v>
      </c>
    </row>
    <row r="198" spans="1:4" ht="15" customHeight="1" x14ac:dyDescent="0.2">
      <c r="A198" t="s">
        <v>173</v>
      </c>
      <c r="B198" s="9">
        <f>CFS!L53</f>
        <v>79248.088815520168</v>
      </c>
    </row>
    <row r="199" spans="1:4" ht="15" customHeight="1" x14ac:dyDescent="0.2">
      <c r="A199" t="s">
        <v>174</v>
      </c>
      <c r="B199">
        <f>-CFS!L56</f>
        <v>-65605.917600000001</v>
      </c>
    </row>
    <row r="200" spans="1:4" ht="15" customHeight="1" x14ac:dyDescent="0.2">
      <c r="A200" t="s">
        <v>175</v>
      </c>
      <c r="B200">
        <f>B198+B199</f>
        <v>13642.171215520168</v>
      </c>
    </row>
    <row r="201" spans="1:4" ht="15" customHeight="1" x14ac:dyDescent="0.2">
      <c r="A201" s="2" t="s">
        <v>176</v>
      </c>
    </row>
    <row r="202" spans="1:4" ht="15" customHeight="1" x14ac:dyDescent="0.2">
      <c r="A202" s="29" t="s">
        <v>177</v>
      </c>
    </row>
    <row r="204" spans="1:4" ht="15" customHeight="1" x14ac:dyDescent="0.2">
      <c r="A204" s="2" t="s">
        <v>178</v>
      </c>
    </row>
    <row r="205" spans="1:4" ht="15" customHeight="1" x14ac:dyDescent="0.2">
      <c r="A205" s="30" t="s">
        <v>179</v>
      </c>
      <c r="B205" s="30" t="s">
        <v>180</v>
      </c>
      <c r="C205" s="30" t="s">
        <v>181</v>
      </c>
      <c r="D205" s="30" t="s">
        <v>182</v>
      </c>
    </row>
    <row r="206" spans="1:4" ht="15" customHeight="1" x14ac:dyDescent="0.2">
      <c r="A206" s="30" t="s">
        <v>183</v>
      </c>
      <c r="B206" s="31">
        <f>Ops!K87</f>
        <v>0.18</v>
      </c>
      <c r="C206" s="32" t="s">
        <v>184</v>
      </c>
      <c r="D206" s="32" t="s">
        <v>185</v>
      </c>
    </row>
    <row r="207" spans="1:4" ht="15" customHeight="1" x14ac:dyDescent="0.2">
      <c r="A207" s="30" t="s">
        <v>186</v>
      </c>
      <c r="B207" s="31">
        <f>BS!K65</f>
        <v>6.1648982197106933E-2</v>
      </c>
      <c r="C207" s="32" t="s">
        <v>187</v>
      </c>
      <c r="D207" s="32" t="str">
        <f>IF(BS!K65&gt;Assumptions!B29,"Accretive: mkt-implied cap ("&amp;TEXT(BS!K65,"0.0%")&amp;") &gt; acq cap ("&amp;TEXT(Assumptions!B29,"0.0%")&amp;")","Not accretive vs acquisitions")</f>
        <v>Accretive: mkt-implied cap (6.2%) &gt; acq cap (5.0%)</v>
      </c>
    </row>
    <row r="208" spans="1:4" ht="15" customHeight="1" x14ac:dyDescent="0.2">
      <c r="A208" s="30" t="s">
        <v>188</v>
      </c>
      <c r="B208" s="31">
        <f>Assumptions!B29</f>
        <v>0.05</v>
      </c>
      <c r="C208" s="32" t="s">
        <v>189</v>
      </c>
      <c r="D208" s="32" t="str">
        <f>IF(Assumptions!B29&lt;BS!K65,"Dilutive: acq cap ("&amp;TEXT(Assumptions!B29,"0.0%")&amp;") &lt; mkt-implied ("&amp;TEXT(BS!K65,"0.0%")&amp;"). Each acq $ earns less than a buyback $","Neutral or accretive vs buybacks")</f>
        <v>Dilutive: acq cap (5.0%) &lt; mkt-implied (6.2%). Each acq $ earns less than a buyback $</v>
      </c>
    </row>
    <row r="209" spans="1:4" ht="15" customHeight="1" x14ac:dyDescent="0.2">
      <c r="A209" s="30" t="s">
        <v>190</v>
      </c>
      <c r="B209" s="31">
        <v>5.2999999999999999E-2</v>
      </c>
      <c r="C209" s="32" t="s">
        <v>191</v>
      </c>
      <c r="D209" s="32" t="str">
        <f>TEXT((0.053-BS!K47)*10000,"0")&amp;"bps spread to applied cap ("&amp;TEXT(BS!K47,"0.00%")&amp;"). WEAK — does not compensate for 2-4yr construction risk."</f>
        <v>62bps spread to applied cap (4.68%). WEAK — does not compensate for 2-4yr construction risk.</v>
      </c>
    </row>
    <row r="210" spans="1:4" ht="15" customHeight="1" x14ac:dyDescent="0.2">
      <c r="A210" s="30" t="s">
        <v>192</v>
      </c>
      <c r="B210" s="31">
        <f>Ops!K63</f>
        <v>3.5799999999999998E-2</v>
      </c>
      <c r="C210" s="32" t="s">
        <v>193</v>
      </c>
      <c r="D210" s="32" t="s">
        <v>194</v>
      </c>
    </row>
    <row r="212" spans="1:4" ht="15" customHeight="1" x14ac:dyDescent="0.2">
      <c r="A212" s="2" t="s">
        <v>195</v>
      </c>
    </row>
    <row r="213" spans="1:4" ht="15" customHeight="1" x14ac:dyDescent="0.2">
      <c r="A213" s="30" t="s">
        <v>196</v>
      </c>
      <c r="B213" s="30" t="s">
        <v>197</v>
      </c>
      <c r="C213" s="30" t="s">
        <v>181</v>
      </c>
      <c r="D213" s="30" t="s">
        <v>198</v>
      </c>
    </row>
    <row r="214" spans="1:4" ht="15" customHeight="1" x14ac:dyDescent="0.2">
      <c r="A214" s="30" t="s">
        <v>199</v>
      </c>
      <c r="B214" s="31">
        <v>0</v>
      </c>
      <c r="C214" s="32" t="s">
        <v>200</v>
      </c>
      <c r="D214" s="32" t="str">
        <f>"FY2025 surplus: $"&amp;TEXT(K53,"#,##0")&amp;"K. Limited capacity — CFS-FCF payout is "&amp;TEXT(K52,"0.0%")&amp;"."</f>
        <v>FY2025 surplus: $3,226K. Limited capacity — CFS-FCF payout is 95.1%.</v>
      </c>
    </row>
    <row r="215" spans="1:4" ht="15" customHeight="1" x14ac:dyDescent="0.2">
      <c r="A215" s="30" t="s">
        <v>201</v>
      </c>
      <c r="B215" s="31">
        <f>Assumptions!B31</f>
        <v>0.05</v>
      </c>
      <c r="C215" s="32" t="s">
        <v>202</v>
      </c>
      <c r="D215" s="32" t="str">
        <f>"Cost = foregone NOI yield on sold assets. FY2025: $"&amp;TEXT(K163/1000,"#,##0.0")&amp;"M gross proceeds from "&amp;TEXT(IS!K114,"#,##0")&amp;" units at $"&amp;TEXT(IS!K115,"#,##0")&amp;"K/door."</f>
        <v>Cost = foregone NOI yield on sold assets. FY2025: $-74.1M gross proceeds from 1,139 units at $130K/door.</v>
      </c>
    </row>
    <row r="216" spans="1:4" ht="15" customHeight="1" x14ac:dyDescent="0.2">
      <c r="A216" s="30" t="s">
        <v>203</v>
      </c>
      <c r="B216" s="31">
        <f>Ops!K63</f>
        <v>3.5799999999999998E-2</v>
      </c>
      <c r="C216" s="32" t="s">
        <v>193</v>
      </c>
      <c r="D216" s="32" t="str">
        <f>"ND/EBITDA already "&amp;TEXT(K64,"0.0")&amp;"x. Additional debt increases refinancing risk. And deteriorates credit metrics. CMHC advantage keeps cost 100-200bps below conventional."</f>
        <v>ND/EBITDA already 9.7x. Additional debt increases refinancing risk. And deteriorates credit metrics. CMHC advantage keeps cost 100-200bps below conventional.</v>
      </c>
    </row>
    <row r="217" spans="1:4" ht="15" customHeight="1" x14ac:dyDescent="0.2">
      <c r="A217" s="30" t="s">
        <v>204</v>
      </c>
      <c r="B217" s="31">
        <f>BS!K65</f>
        <v>6.1648982197106933E-2</v>
      </c>
      <c r="C217" s="32" t="s">
        <v>205</v>
      </c>
      <c r="D217" s="32" t="str">
        <f>"Most expensive source. At "&amp;TEXT(B10,"0.0%")&amp;" discount to NAV, each $1 issued buys $"&amp;TEXT(1/(1+B10),"0.00")&amp;" of assets. Off the table."</f>
        <v>Most expensive source. At -35.5% discount to NAV, each $1 issued buys $1.55 of assets. Off the table.</v>
      </c>
    </row>
    <row r="219" spans="1:4" ht="15" customHeight="1" x14ac:dyDescent="0.2">
      <c r="A219" s="2" t="s">
        <v>206</v>
      </c>
    </row>
    <row r="220" spans="1:4" ht="15" customHeight="1" x14ac:dyDescent="0.2">
      <c r="A220" s="32" t="s">
        <v>207</v>
      </c>
      <c r="B220" s="33">
        <f>B9/B8</f>
        <v>1.5511827554666544</v>
      </c>
      <c r="D220" s="32" t="str">
        <f>"Each $1 of buyback retires units carrying $"&amp;TEXT(B9/B8,"0.00")&amp;" of NAV. Immediate "&amp;TEXT((B9/B8-1)*100,"0.0")&amp;"% value creation."</f>
        <v>Each $1 of buyback retires units carrying $1.55 of NAV. Immediate 55.1% value creation.</v>
      </c>
    </row>
    <row r="221" spans="1:4" ht="15" customHeight="1" x14ac:dyDescent="0.2">
      <c r="A221" s="32" t="s">
        <v>208</v>
      </c>
      <c r="B221" s="34">
        <f>(BS!K65-Assumptions!B29)*10000</f>
        <v>116.4898219710693</v>
      </c>
      <c r="D221" s="32" t="s">
        <v>209</v>
      </c>
    </row>
    <row r="222" spans="1:4" ht="15" customHeight="1" x14ac:dyDescent="0.2">
      <c r="A222" s="32" t="s">
        <v>210</v>
      </c>
      <c r="B222" s="34">
        <f>(BS!K65-Assumptions!B31)*10000</f>
        <v>116.4898219710693</v>
      </c>
      <c r="D222" s="32" t="s">
        <v>211</v>
      </c>
    </row>
    <row r="223" spans="1:4" ht="15" customHeight="1" x14ac:dyDescent="0.2">
      <c r="A223" s="32" t="s">
        <v>212</v>
      </c>
      <c r="B223" s="35">
        <f>B9-B8</f>
        <v>8.9512079487784675</v>
      </c>
      <c r="D223" s="32" t="str">
        <f>"Each DRIP unit issued at $"&amp;TEXT(B8,"0.00")&amp;" carries $"&amp;TEXT(B9,"0.00")&amp;" NAV claim. Non-participants subsidize participants by $"&amp;TEXT(B9-B8,"0.00")&amp;"/unit."</f>
        <v>Each DRIP unit issued at $16.24 carries $25.19 NAV claim. Non-participants subsidize participants by $8.95/unit.</v>
      </c>
    </row>
    <row r="224" spans="1:4" ht="15" customHeight="1" x14ac:dyDescent="0.2">
      <c r="A224" s="32" t="s">
        <v>213</v>
      </c>
      <c r="B224" s="34">
        <f>(0.053-BS!K47)*10000</f>
        <v>61.999999999999972</v>
      </c>
      <c r="D224" s="32" t="s">
        <v>214</v>
      </c>
    </row>
    <row r="225" spans="1:4" ht="15" customHeight="1" x14ac:dyDescent="0.2">
      <c r="A225" s="32" t="s">
        <v>215</v>
      </c>
      <c r="B225" s="31">
        <f>BS!K65</f>
        <v>6.1648982197106933E-2</v>
      </c>
      <c r="D225" s="32" t="s">
        <v>216</v>
      </c>
    </row>
    <row r="227" spans="1:4" ht="15" customHeight="1" x14ac:dyDescent="0.2">
      <c r="A227" s="2" t="s">
        <v>217</v>
      </c>
    </row>
    <row r="228" spans="1:4" ht="15" customHeight="1" x14ac:dyDescent="0.2">
      <c r="A228" s="32" t="s">
        <v>218</v>
      </c>
    </row>
    <row r="229" spans="1:4" ht="15" customHeight="1" x14ac:dyDescent="0.2">
      <c r="A229" s="32" t="s">
        <v>219</v>
      </c>
    </row>
    <row r="230" spans="1:4" ht="15" customHeight="1" x14ac:dyDescent="0.2">
      <c r="A230" s="32" t="s">
        <v>220</v>
      </c>
    </row>
    <row r="231" spans="1:4" ht="15" customHeight="1" x14ac:dyDescent="0.2">
      <c r="A231" s="32" t="s">
        <v>221</v>
      </c>
    </row>
    <row r="232" spans="1:4" ht="15" customHeight="1" x14ac:dyDescent="0.2">
      <c r="A232" s="32" t="s">
        <v>222</v>
      </c>
    </row>
    <row r="233" spans="1:4" ht="15" customHeight="1" x14ac:dyDescent="0.2">
      <c r="A233" s="32" t="s">
        <v>223</v>
      </c>
    </row>
    <row r="235" spans="1:4" ht="15" customHeight="1" x14ac:dyDescent="0.2">
      <c r="A235" s="2" t="s">
        <v>224</v>
      </c>
    </row>
    <row r="236" spans="1:4" ht="15" customHeight="1" x14ac:dyDescent="0.2">
      <c r="A236" s="36" t="s">
        <v>225</v>
      </c>
    </row>
    <row r="237" spans="1:4" ht="15" customHeight="1" x14ac:dyDescent="0.2">
      <c r="A237" s="36" t="s">
        <v>226</v>
      </c>
    </row>
    <row r="238" spans="1:4" ht="15" customHeight="1" x14ac:dyDescent="0.2">
      <c r="A238" s="36" t="s">
        <v>227</v>
      </c>
    </row>
    <row r="239" spans="1:4" ht="15" customHeight="1" x14ac:dyDescent="0.2">
      <c r="A239" s="36" t="s">
        <v>228</v>
      </c>
    </row>
    <row r="240" spans="1:4" ht="15" customHeight="1" x14ac:dyDescent="0.2">
      <c r="A240" s="36" t="s">
        <v>229</v>
      </c>
    </row>
    <row r="241" spans="1:1" ht="15" customHeight="1" x14ac:dyDescent="0.2">
      <c r="A241" s="36" t="s">
        <v>230</v>
      </c>
    </row>
    <row r="242" spans="1:1" ht="15" customHeight="1" x14ac:dyDescent="0.2">
      <c r="A242" s="36" t="s">
        <v>231</v>
      </c>
    </row>
    <row r="243" spans="1:1" ht="15" customHeight="1" x14ac:dyDescent="0.2">
      <c r="A243" s="36" t="s">
        <v>232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5"/>
  <sheetViews>
    <sheetView showGridLines="0" topLeftCell="A90" zoomScaleNormal="100" workbookViewId="0">
      <selection activeCell="A102" sqref="A102"/>
    </sheetView>
  </sheetViews>
  <sheetFormatPr baseColWidth="10" defaultColWidth="8.6640625" defaultRowHeight="15" x14ac:dyDescent="0.2"/>
  <cols>
    <col min="1" max="1" width="59.33203125" customWidth="1"/>
    <col min="2" max="16" width="14" customWidth="1"/>
  </cols>
  <sheetData>
    <row r="1" spans="1:11" ht="15" customHeight="1" x14ac:dyDescent="0.2">
      <c r="A1" s="7" t="s">
        <v>233</v>
      </c>
    </row>
    <row r="2" spans="1:11" ht="15" customHeight="1" x14ac:dyDescent="0.2">
      <c r="A2" s="7" t="s">
        <v>777</v>
      </c>
    </row>
    <row r="3" spans="1:11" ht="15" customHeight="1" x14ac:dyDescent="0.2">
      <c r="A3" s="5" t="s">
        <v>778</v>
      </c>
    </row>
    <row r="4" spans="1:11" ht="15" customHeight="1" x14ac:dyDescent="0.2">
      <c r="A4" s="5"/>
    </row>
    <row r="5" spans="1:11" ht="15" customHeight="1" x14ac:dyDescent="0.2">
      <c r="B5" s="60" t="s">
        <v>3</v>
      </c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10</v>
      </c>
      <c r="J5" s="60" t="s">
        <v>11</v>
      </c>
      <c r="K5" s="60" t="s">
        <v>12</v>
      </c>
    </row>
    <row r="6" spans="1:11" ht="15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">
      <c r="A7" s="7" t="s">
        <v>779</v>
      </c>
    </row>
    <row r="8" spans="1:11" ht="15" customHeight="1" x14ac:dyDescent="0.2">
      <c r="A8" s="5" t="s">
        <v>780</v>
      </c>
      <c r="B8" s="61">
        <v>3</v>
      </c>
      <c r="C8" s="15"/>
      <c r="D8" s="15"/>
      <c r="E8" s="15"/>
      <c r="F8" s="15"/>
      <c r="G8" s="15"/>
      <c r="H8" s="15"/>
      <c r="I8" s="15"/>
      <c r="J8" s="15"/>
      <c r="K8" s="15"/>
    </row>
    <row r="9" spans="1:11" ht="15" customHeight="1" x14ac:dyDescent="0.2">
      <c r="A9" s="5"/>
      <c r="B9" s="62"/>
      <c r="C9" s="16"/>
      <c r="D9" s="16"/>
      <c r="E9" s="16"/>
      <c r="F9" s="16"/>
      <c r="G9" s="63"/>
      <c r="H9" s="16"/>
      <c r="I9" s="16"/>
      <c r="J9" s="16"/>
      <c r="K9" s="16"/>
    </row>
    <row r="10" spans="1:11" ht="15" customHeight="1" x14ac:dyDescent="0.2">
      <c r="A10" s="18" t="s">
        <v>781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15" customHeight="1" x14ac:dyDescent="0.2">
      <c r="A11" s="5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">
      <c r="A12" s="5" t="s">
        <v>61</v>
      </c>
      <c r="B12" s="11">
        <f>BS!B8</f>
        <v>1942809</v>
      </c>
      <c r="C12" s="64"/>
      <c r="D12" s="64"/>
      <c r="E12" s="64"/>
      <c r="F12" s="64"/>
      <c r="G12" s="64"/>
      <c r="H12" s="64"/>
      <c r="I12" s="64"/>
      <c r="J12" s="64"/>
      <c r="K12" s="64"/>
    </row>
    <row r="13" spans="1:11" ht="15" customHeight="1" x14ac:dyDescent="0.2">
      <c r="A13" s="5" t="s">
        <v>782</v>
      </c>
      <c r="B13" s="11">
        <f>BS!B9+BS!B12+BS!B14+BS!B15</f>
        <v>44824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5" customHeight="1" x14ac:dyDescent="0.2">
      <c r="A14" s="5" t="s">
        <v>669</v>
      </c>
      <c r="B14" s="11">
        <f>BS!B20+BS!B21+BS!B27</f>
        <v>1016023</v>
      </c>
      <c r="C14" s="6"/>
      <c r="D14" s="6"/>
      <c r="E14" s="6"/>
      <c r="F14" s="6"/>
      <c r="G14" s="6"/>
      <c r="H14" s="6"/>
      <c r="I14" s="6"/>
      <c r="J14" s="6"/>
      <c r="K14" s="6"/>
    </row>
    <row r="15" spans="1:11" ht="15" customHeight="1" x14ac:dyDescent="0.2">
      <c r="A15" s="5" t="s">
        <v>783</v>
      </c>
      <c r="B15" s="11">
        <f>BS!B25+BS!B26+BS!B28+BS!B29</f>
        <v>221160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ht="15" customHeight="1" x14ac:dyDescent="0.2">
      <c r="A16" s="7" t="s">
        <v>784</v>
      </c>
      <c r="B16" s="11">
        <f>BS!B37</f>
        <v>750450</v>
      </c>
    </row>
    <row r="17" spans="1:11" ht="15" customHeight="1" x14ac:dyDescent="0.2">
      <c r="A17" s="5" t="s">
        <v>785</v>
      </c>
      <c r="B17" s="6">
        <f>BS!B57</f>
        <v>71736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ht="15" customHeight="1" x14ac:dyDescent="0.2">
      <c r="A18" s="7" t="s">
        <v>20</v>
      </c>
      <c r="B18" s="14">
        <f>IF(B17=0,"",B16/B17)</f>
        <v>10.461274673803947</v>
      </c>
    </row>
    <row r="19" spans="1:11" ht="15" customHeight="1" x14ac:dyDescent="0.2">
      <c r="A19" s="5" t="s">
        <v>786</v>
      </c>
      <c r="B19" s="11">
        <f>BS!B14</f>
        <v>24652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5" customHeight="1" x14ac:dyDescent="0.2">
      <c r="A20" s="5" t="s">
        <v>787</v>
      </c>
      <c r="B20" s="65">
        <f>IF(B35=0,"",(B14-B19)/B35)</f>
        <v>10.695439686700974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5" customHeight="1" x14ac:dyDescent="0.2">
      <c r="A21" s="18"/>
      <c r="B21" s="14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5" customHeight="1" x14ac:dyDescent="0.2">
      <c r="A22" s="18" t="s">
        <v>788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5" customHeight="1" x14ac:dyDescent="0.2">
      <c r="A23" s="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15" customHeight="1" x14ac:dyDescent="0.2">
      <c r="A24" s="5" t="s">
        <v>86</v>
      </c>
      <c r="B24" s="15">
        <f>Ops!B14</f>
        <v>0.04</v>
      </c>
      <c r="C24" s="15">
        <f>Ops!C14</f>
        <v>3.5999999999999997E-2</v>
      </c>
      <c r="D24" s="15">
        <f>Ops!D14</f>
        <v>4.8000000000000001E-2</v>
      </c>
      <c r="E24" s="15">
        <f>Ops!E14</f>
        <v>4.1000000000000002E-2</v>
      </c>
      <c r="F24" s="15">
        <f>Ops!F14</f>
        <v>2.3E-2</v>
      </c>
      <c r="G24" s="15">
        <f>Ops!G14</f>
        <v>5.0999999999999997E-2</v>
      </c>
      <c r="H24" s="15">
        <f>Ops!H14</f>
        <v>4.7E-2</v>
      </c>
      <c r="I24" s="15">
        <f>Ops!I14</f>
        <v>7.8E-2</v>
      </c>
      <c r="J24" s="15">
        <f>Ops!J14</f>
        <v>8.3000000000000004E-2</v>
      </c>
      <c r="K24" s="15">
        <f>Ops!K14</f>
        <v>6.0999999999999999E-2</v>
      </c>
    </row>
    <row r="25" spans="1:11" ht="15" customHeight="1" x14ac:dyDescent="0.2">
      <c r="A25" s="5" t="s">
        <v>682</v>
      </c>
      <c r="B25" s="16">
        <f>Ops!B63</f>
        <v>3.0099999999999998E-2</v>
      </c>
      <c r="C25" s="16">
        <f>Ops!C63</f>
        <v>2.8899999999999999E-2</v>
      </c>
      <c r="D25" s="16">
        <f>Ops!D63</f>
        <v>2.9499999999999998E-2</v>
      </c>
      <c r="E25" s="16">
        <f>Ops!E63</f>
        <v>2.9000000000000001E-2</v>
      </c>
      <c r="F25" s="16">
        <f>Ops!F63</f>
        <v>2.69E-2</v>
      </c>
      <c r="G25" s="16">
        <f>Ops!G63</f>
        <v>2.58E-2</v>
      </c>
      <c r="H25" s="16">
        <f>Ops!H63</f>
        <v>2.7400000000000001E-2</v>
      </c>
      <c r="I25" s="16">
        <f>Ops!I63</f>
        <v>3.2000000000000001E-2</v>
      </c>
      <c r="J25" s="16">
        <f>Ops!J63</f>
        <v>3.5000000000000003E-2</v>
      </c>
      <c r="K25" s="16">
        <f>Ops!K63</f>
        <v>3.5799999999999998E-2</v>
      </c>
    </row>
    <row r="26" spans="1:11" ht="15" customHeight="1" x14ac:dyDescent="0.2">
      <c r="A26" s="5" t="s">
        <v>789</v>
      </c>
      <c r="B26" s="15">
        <f>IF(IS!B18=0,0,-CFS!B24/IS!B18)</f>
        <v>0.31738503566550313</v>
      </c>
      <c r="C26" s="15">
        <f>IF(IS!C18=0,0,-CFS!C24/IS!C18)</f>
        <v>0.27054330845339353</v>
      </c>
      <c r="D26" s="15">
        <f>IF(IS!D18=0,0,-CFS!D24/IS!D18)</f>
        <v>0.3523196180146192</v>
      </c>
      <c r="E26" s="15">
        <f>IF(IS!E18=0,0,-CFS!E24/IS!E18)</f>
        <v>0.481954364037391</v>
      </c>
      <c r="F26" s="15">
        <f>IF(IS!F18=0,0,-CFS!F24/IS!F18)</f>
        <v>0.42299376905418373</v>
      </c>
      <c r="G26" s="15">
        <f>IF(IS!G18=0,0,-CFS!G24/IS!G18)</f>
        <v>0.41919938876306384</v>
      </c>
      <c r="H26" s="15">
        <f>IF(IS!H18=0,0,-CFS!H24/IS!H18)</f>
        <v>0.45391277451283635</v>
      </c>
      <c r="I26" s="15">
        <f>IF(IS!I18=0,0,-CFS!I24/IS!I18)</f>
        <v>0.43913891529750987</v>
      </c>
      <c r="J26" s="15">
        <f>IF(IS!J18=0,0,-CFS!J24/IS!J18)</f>
        <v>0.39050070483738841</v>
      </c>
      <c r="K26" s="15">
        <f>IF(IS!K18=0,0,-CFS!K24/IS!K18)</f>
        <v>0.31239895144960522</v>
      </c>
    </row>
    <row r="27" spans="1:11" ht="15" customHeight="1" x14ac:dyDescent="0.2">
      <c r="A27" s="5" t="s">
        <v>656</v>
      </c>
      <c r="B27" s="16">
        <f>BS!B47</f>
        <v>5.4899999999999997E-2</v>
      </c>
      <c r="C27" s="16">
        <f>BS!C47</f>
        <v>5.3699999999999998E-2</v>
      </c>
      <c r="D27" s="16">
        <f>BS!D47</f>
        <v>4.8500000000000001E-2</v>
      </c>
      <c r="E27" s="16">
        <f>BS!E47</f>
        <v>4.5900000000000003E-2</v>
      </c>
      <c r="F27" s="16">
        <f>BS!F47</f>
        <v>4.6699999999999998E-2</v>
      </c>
      <c r="G27" s="16">
        <f>BS!G47</f>
        <v>4.41E-2</v>
      </c>
      <c r="H27" s="16">
        <f>BS!H47</f>
        <v>4.2999999999999997E-2</v>
      </c>
      <c r="I27" s="16">
        <f>BS!I47</f>
        <v>4.5499999999999999E-2</v>
      </c>
      <c r="J27" s="16">
        <f>BS!J47</f>
        <v>4.6199999999999998E-2</v>
      </c>
      <c r="K27" s="16">
        <f>BS!K47</f>
        <v>4.6800000000000001E-2</v>
      </c>
    </row>
    <row r="28" spans="1:11" ht="15" customHeight="1" x14ac:dyDescent="0.2">
      <c r="A28" s="5" t="s">
        <v>790</v>
      </c>
      <c r="B28" s="64">
        <f>IF(IS!B51=0,0,IS!B71/IS!B51*1000)</f>
        <v>95.363794134375595</v>
      </c>
      <c r="C28" s="64">
        <f>IF(IS!C51=0,0,IS!C71/IS!C51*1000)</f>
        <v>176.59996440285795</v>
      </c>
      <c r="D28" s="64">
        <f>IF(IS!D51=0,0,IS!D71/IS!D51*1000)</f>
        <v>174.75483167976142</v>
      </c>
      <c r="E28" s="64">
        <f>IF(IS!E51=0,0,IS!E71/IS!E51*1000)</f>
        <v>169.28706966657631</v>
      </c>
      <c r="F28" s="64">
        <f>IF(IS!F51=0,0,IS!F71/IS!F51*1000)</f>
        <v>161.33508128953235</v>
      </c>
      <c r="G28" s="64">
        <f>IF(IS!G51=0,0,IS!G71/IS!G51*1000)</f>
        <v>161.45879992116534</v>
      </c>
      <c r="H28" s="64">
        <f>IF(IS!H51=0,0,IS!H71/IS!H51*1000)</f>
        <v>169.83040363767063</v>
      </c>
      <c r="I28" s="64">
        <f>IF(IS!I51=0,0,IS!I71/IS!I51*1000)</f>
        <v>177.44295390280791</v>
      </c>
      <c r="J28" s="64">
        <f>IF(IS!J51=0,0,IS!J71/IS!J51*1000)</f>
        <v>184.54716015691625</v>
      </c>
      <c r="K28" s="64">
        <f>IF(IS!K51=0,0,IS!K71/IS!K51*1000)</f>
        <v>180.14885946670734</v>
      </c>
    </row>
    <row r="29" spans="1:11" ht="15" customHeight="1" x14ac:dyDescent="0.2">
      <c r="A29" s="5" t="s">
        <v>791</v>
      </c>
      <c r="B29" s="15">
        <f>IF(IS!B18=0,0,-IS!B22/IS!B18)</f>
        <v>0.12077894976475945</v>
      </c>
      <c r="C29" s="15">
        <f>IF(IS!B18=0,0,-IS!B22/IS!B18)</f>
        <v>0.12077894976475945</v>
      </c>
      <c r="D29" s="15">
        <f>IF(IS!B18=0,0,-IS!B22/IS!B18)</f>
        <v>0.12077894976475945</v>
      </c>
      <c r="E29" s="15">
        <f>IF(IS!B18=0,0,-IS!B22/IS!B18)</f>
        <v>0.12077894976475945</v>
      </c>
      <c r="F29" s="15">
        <f>IF(IS!B18=0,0,-IS!B22/IS!B18)</f>
        <v>0.12077894976475945</v>
      </c>
      <c r="G29" s="15">
        <f>IF(IS!B18=0,0,-IS!B22/IS!B18)</f>
        <v>0.12077894976475945</v>
      </c>
      <c r="H29" s="15">
        <f>IF(IS!B18=0,0,-IS!B22/IS!B18)</f>
        <v>0.12077894976475945</v>
      </c>
      <c r="I29" s="15">
        <f>IF(IS!B18=0,0,-IS!B22/IS!B18)</f>
        <v>0.12077894976475945</v>
      </c>
      <c r="J29" s="15">
        <f>IF(IS!B18=0,0,-IS!B22/IS!B18)</f>
        <v>0.12077894976475945</v>
      </c>
      <c r="K29" s="15">
        <f>IF(IS!B18=0,0,-IS!B22/IS!B18)</f>
        <v>0.12077894976475945</v>
      </c>
    </row>
    <row r="30" spans="1:11" ht="15" customHeight="1" x14ac:dyDescent="0.2">
      <c r="A30" s="18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5" customHeight="1" x14ac:dyDescent="0.2">
      <c r="A31" s="18" t="s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ht="15" customHeight="1" x14ac:dyDescent="0.2">
      <c r="A32" s="7"/>
      <c r="B32" s="44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5" customHeight="1" x14ac:dyDescent="0.2">
      <c r="A33" s="7" t="s">
        <v>453</v>
      </c>
      <c r="B33" s="44">
        <v>105424</v>
      </c>
      <c r="C33" s="22">
        <f t="shared" ref="C33:K33" si="0">B33*(1+C24)</f>
        <v>109219.26400000001</v>
      </c>
      <c r="D33" s="22">
        <f t="shared" si="0"/>
        <v>114461.78867200001</v>
      </c>
      <c r="E33" s="22">
        <f t="shared" si="0"/>
        <v>119154.722007552</v>
      </c>
      <c r="F33" s="22">
        <f t="shared" si="0"/>
        <v>121895.28061372568</v>
      </c>
      <c r="G33" s="22">
        <f t="shared" si="0"/>
        <v>128111.93992502568</v>
      </c>
      <c r="H33" s="22">
        <f t="shared" si="0"/>
        <v>134133.20110150188</v>
      </c>
      <c r="I33" s="22">
        <f t="shared" si="0"/>
        <v>144595.59078741903</v>
      </c>
      <c r="J33" s="22">
        <f t="shared" si="0"/>
        <v>156597.02482277481</v>
      </c>
      <c r="K33" s="22">
        <f t="shared" si="0"/>
        <v>166149.44333696406</v>
      </c>
    </row>
    <row r="34" spans="1:11" ht="15" customHeight="1" x14ac:dyDescent="0.2">
      <c r="A34" s="5" t="s">
        <v>792</v>
      </c>
      <c r="B34" s="22">
        <f t="shared" ref="B34:K34" si="1">-B33*B29</f>
        <v>-12733</v>
      </c>
      <c r="C34" s="22">
        <f t="shared" si="1"/>
        <v>-13191.388000000001</v>
      </c>
      <c r="D34" s="22">
        <f t="shared" si="1"/>
        <v>-13824.574624000001</v>
      </c>
      <c r="E34" s="22">
        <f t="shared" si="1"/>
        <v>-14391.382183584001</v>
      </c>
      <c r="F34" s="22">
        <f t="shared" si="1"/>
        <v>-14722.383973806431</v>
      </c>
      <c r="G34" s="22">
        <f t="shared" si="1"/>
        <v>-15473.225556470557</v>
      </c>
      <c r="H34" s="22">
        <f t="shared" si="1"/>
        <v>-16200.467157624673</v>
      </c>
      <c r="I34" s="22">
        <f t="shared" si="1"/>
        <v>-17464.103595919398</v>
      </c>
      <c r="J34" s="22">
        <f t="shared" si="1"/>
        <v>-18913.624194380707</v>
      </c>
      <c r="K34" s="22">
        <f t="shared" si="1"/>
        <v>-20067.355270237927</v>
      </c>
    </row>
    <row r="35" spans="1:11" ht="15" customHeight="1" x14ac:dyDescent="0.2">
      <c r="A35" s="7" t="s">
        <v>32</v>
      </c>
      <c r="B35" s="13">
        <f t="shared" ref="B35:K35" si="2">B33+B34</f>
        <v>92691</v>
      </c>
      <c r="C35" s="13">
        <f t="shared" si="2"/>
        <v>96027.876000000004</v>
      </c>
      <c r="D35" s="13">
        <f t="shared" si="2"/>
        <v>100637.21404800001</v>
      </c>
      <c r="E35" s="13">
        <f t="shared" si="2"/>
        <v>104763.339823968</v>
      </c>
      <c r="F35" s="13">
        <f t="shared" si="2"/>
        <v>107172.89663991926</v>
      </c>
      <c r="G35" s="13">
        <f t="shared" si="2"/>
        <v>112638.71436855513</v>
      </c>
      <c r="H35" s="13">
        <f t="shared" si="2"/>
        <v>117932.7339438772</v>
      </c>
      <c r="I35" s="13">
        <f t="shared" si="2"/>
        <v>127131.48719149963</v>
      </c>
      <c r="J35" s="13">
        <f t="shared" si="2"/>
        <v>137683.4006283941</v>
      </c>
      <c r="K35" s="13">
        <f t="shared" si="2"/>
        <v>146082.08806672614</v>
      </c>
    </row>
    <row r="36" spans="1:11" ht="15" customHeight="1" x14ac:dyDescent="0.2">
      <c r="A36" s="7"/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1" ht="15" customHeight="1" x14ac:dyDescent="0.2">
      <c r="A37" s="5" t="s">
        <v>793</v>
      </c>
      <c r="B37" s="22">
        <f t="shared" ref="B37:K37" si="3">-B51*B25</f>
        <v>-30582.292299999997</v>
      </c>
      <c r="C37" s="22">
        <f t="shared" si="3"/>
        <v>-29363.064699999999</v>
      </c>
      <c r="D37" s="22">
        <f t="shared" si="3"/>
        <v>-31025.514502000002</v>
      </c>
      <c r="E37" s="22">
        <f t="shared" si="3"/>
        <v>-31929.326339552001</v>
      </c>
      <c r="F37" s="22">
        <f t="shared" si="3"/>
        <v>-30804.319328297952</v>
      </c>
      <c r="G37" s="22">
        <f t="shared" si="3"/>
        <v>-30209.561903181384</v>
      </c>
      <c r="H37" s="22">
        <f t="shared" si="3"/>
        <v>-33684.808580109901</v>
      </c>
      <c r="I37" s="22">
        <f t="shared" si="3"/>
        <v>-41151.822175503723</v>
      </c>
      <c r="J37" s="22">
        <f t="shared" si="3"/>
        <v>-48453.270373804866</v>
      </c>
      <c r="K37" s="22">
        <f t="shared" si="3"/>
        <v>-53601.066960655357</v>
      </c>
    </row>
    <row r="38" spans="1:11" ht="15" customHeight="1" x14ac:dyDescent="0.2">
      <c r="A38" s="5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5" customHeight="1" x14ac:dyDescent="0.2">
      <c r="A39" s="7" t="s">
        <v>499</v>
      </c>
      <c r="B39" s="13">
        <f t="shared" ref="B39:K39" si="4">B35+B37</f>
        <v>62108.707699999999</v>
      </c>
      <c r="C39" s="13">
        <f t="shared" si="4"/>
        <v>66664.811300000001</v>
      </c>
      <c r="D39" s="13">
        <f t="shared" si="4"/>
        <v>69611.699546000003</v>
      </c>
      <c r="E39" s="13">
        <f t="shared" si="4"/>
        <v>72834.013484415991</v>
      </c>
      <c r="F39" s="13">
        <f t="shared" si="4"/>
        <v>76368.577311621309</v>
      </c>
      <c r="G39" s="13">
        <f t="shared" si="4"/>
        <v>82429.152465373743</v>
      </c>
      <c r="H39" s="13">
        <f t="shared" si="4"/>
        <v>84247.92536376731</v>
      </c>
      <c r="I39" s="13">
        <f t="shared" si="4"/>
        <v>85979.66501599591</v>
      </c>
      <c r="J39" s="13">
        <f t="shared" si="4"/>
        <v>89230.130254589225</v>
      </c>
      <c r="K39" s="13">
        <f t="shared" si="4"/>
        <v>92481.021106070781</v>
      </c>
    </row>
    <row r="40" spans="1:11" ht="15" customHeight="1" x14ac:dyDescent="0.2">
      <c r="A40" s="5" t="s">
        <v>794</v>
      </c>
      <c r="B40" s="22">
        <f>-B28*B17/1000</f>
        <v>-6841.0171360235681</v>
      </c>
      <c r="C40" s="22">
        <f>-C28*B17/1000</f>
        <v>-12668.575046403417</v>
      </c>
      <c r="D40" s="22">
        <f>-D28*B17/1000</f>
        <v>-12536.212605379365</v>
      </c>
      <c r="E40" s="22">
        <f>-E28*B17/1000</f>
        <v>-12143.97722960152</v>
      </c>
      <c r="F40" s="22">
        <f>-F28*B17/1000</f>
        <v>-11573.533391385892</v>
      </c>
      <c r="G40" s="22">
        <f>-G28*B17/1000</f>
        <v>-11582.408471144718</v>
      </c>
      <c r="H40" s="22">
        <f>-H28*B17/1000</f>
        <v>-12182.95383535194</v>
      </c>
      <c r="I40" s="22">
        <f>-I28*B17/1000</f>
        <v>-12729.047741171829</v>
      </c>
      <c r="J40" s="22">
        <f>-J28*B17/1000</f>
        <v>-13238.675081016545</v>
      </c>
      <c r="K40" s="22">
        <f>-K28*B17/1000</f>
        <v>-12923.158582703718</v>
      </c>
    </row>
    <row r="41" spans="1:11" ht="15" customHeight="1" x14ac:dyDescent="0.2">
      <c r="A41" s="7" t="s">
        <v>795</v>
      </c>
      <c r="B41" s="13">
        <f t="shared" ref="B41:K41" si="5">B39+B40</f>
        <v>55267.69056397643</v>
      </c>
      <c r="C41" s="13">
        <f t="shared" si="5"/>
        <v>53996.23625359658</v>
      </c>
      <c r="D41" s="13">
        <f t="shared" si="5"/>
        <v>57075.486940620642</v>
      </c>
      <c r="E41" s="13">
        <f t="shared" si="5"/>
        <v>60690.036254814469</v>
      </c>
      <c r="F41" s="13">
        <f t="shared" si="5"/>
        <v>64795.043920235417</v>
      </c>
      <c r="G41" s="13">
        <f t="shared" si="5"/>
        <v>70846.743994229022</v>
      </c>
      <c r="H41" s="13">
        <f t="shared" si="5"/>
        <v>72064.971528415364</v>
      </c>
      <c r="I41" s="13">
        <f t="shared" si="5"/>
        <v>73250.617274824079</v>
      </c>
      <c r="J41" s="13">
        <f t="shared" si="5"/>
        <v>75991.455173572685</v>
      </c>
      <c r="K41" s="13">
        <f t="shared" si="5"/>
        <v>79557.862523367061</v>
      </c>
    </row>
    <row r="42" spans="1:11" ht="15" customHeight="1" x14ac:dyDescent="0.2">
      <c r="A42" s="7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11" ht="15" customHeight="1" x14ac:dyDescent="0.2">
      <c r="A43" s="5" t="s">
        <v>796</v>
      </c>
      <c r="B43" s="22">
        <f t="shared" ref="B43:K43" si="6">-B33*B26</f>
        <v>-33460</v>
      </c>
      <c r="C43" s="22">
        <f t="shared" si="6"/>
        <v>-29548.541029404623</v>
      </c>
      <c r="D43" s="22">
        <f t="shared" si="6"/>
        <v>-40327.13366218911</v>
      </c>
      <c r="E43" s="22">
        <f t="shared" si="6"/>
        <v>-57427.138267201844</v>
      </c>
      <c r="F43" s="22">
        <f t="shared" si="6"/>
        <v>-51560.944176717203</v>
      </c>
      <c r="G43" s="22">
        <f t="shared" si="6"/>
        <v>-53704.446909821119</v>
      </c>
      <c r="H43" s="22">
        <f t="shared" si="6"/>
        <v>-60884.773466270955</v>
      </c>
      <c r="I43" s="22">
        <f t="shared" si="6"/>
        <v>-63497.550895189801</v>
      </c>
      <c r="J43" s="22">
        <f t="shared" si="6"/>
        <v>-61151.248568731571</v>
      </c>
      <c r="K43" s="22">
        <f t="shared" si="6"/>
        <v>-51904.911882403168</v>
      </c>
    </row>
    <row r="44" spans="1:11" ht="15" customHeight="1" x14ac:dyDescent="0.2">
      <c r="A44" s="7" t="s">
        <v>797</v>
      </c>
      <c r="B44" s="13">
        <f t="shared" ref="B44:K44" si="7">B35+B37+B43</f>
        <v>28648.707699999999</v>
      </c>
      <c r="C44" s="13">
        <f t="shared" si="7"/>
        <v>37116.270270595378</v>
      </c>
      <c r="D44" s="13">
        <f t="shared" si="7"/>
        <v>29284.565883810894</v>
      </c>
      <c r="E44" s="13">
        <f t="shared" si="7"/>
        <v>15406.875217214147</v>
      </c>
      <c r="F44" s="13">
        <f t="shared" si="7"/>
        <v>24807.633134904107</v>
      </c>
      <c r="G44" s="13">
        <f t="shared" si="7"/>
        <v>28724.705555552624</v>
      </c>
      <c r="H44" s="13">
        <f t="shared" si="7"/>
        <v>23363.151897496355</v>
      </c>
      <c r="I44" s="13">
        <f t="shared" si="7"/>
        <v>22482.114120806109</v>
      </c>
      <c r="J44" s="13">
        <f t="shared" si="7"/>
        <v>28078.881685857654</v>
      </c>
      <c r="K44" s="13">
        <f t="shared" si="7"/>
        <v>40576.109223667612</v>
      </c>
    </row>
    <row r="46" spans="1:11" ht="15" customHeight="1" x14ac:dyDescent="0.2">
      <c r="A46" s="18" t="s">
        <v>798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5" customHeight="1" x14ac:dyDescent="0.2">
      <c r="A47" s="18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ht="15" customHeight="1" x14ac:dyDescent="0.2">
      <c r="A48" s="5" t="s">
        <v>799</v>
      </c>
      <c r="B48" s="66">
        <v>25</v>
      </c>
      <c r="C48" s="67">
        <f t="shared" ref="C48:K48" si="8">MAX(1,B48-1)</f>
        <v>24</v>
      </c>
      <c r="D48" s="67">
        <f t="shared" si="8"/>
        <v>23</v>
      </c>
      <c r="E48" s="67">
        <f t="shared" si="8"/>
        <v>22</v>
      </c>
      <c r="F48" s="67">
        <f t="shared" si="8"/>
        <v>21</v>
      </c>
      <c r="G48" s="67">
        <f t="shared" si="8"/>
        <v>20</v>
      </c>
      <c r="H48" s="67">
        <f t="shared" si="8"/>
        <v>19</v>
      </c>
      <c r="I48" s="67">
        <f t="shared" si="8"/>
        <v>18</v>
      </c>
      <c r="J48" s="67">
        <f t="shared" si="8"/>
        <v>17</v>
      </c>
      <c r="K48" s="67">
        <f t="shared" si="8"/>
        <v>16</v>
      </c>
    </row>
    <row r="49" spans="1:15" ht="15" customHeight="1" x14ac:dyDescent="0.2">
      <c r="A49" s="5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5" ht="15" customHeight="1" x14ac:dyDescent="0.2">
      <c r="A50" s="5" t="s">
        <v>797</v>
      </c>
      <c r="B50" s="11">
        <f t="shared" ref="B50:K50" si="9">B44</f>
        <v>28648.707699999999</v>
      </c>
      <c r="C50" s="11">
        <f t="shared" si="9"/>
        <v>37116.270270595378</v>
      </c>
      <c r="D50" s="11">
        <f t="shared" si="9"/>
        <v>29284.565883810894</v>
      </c>
      <c r="E50" s="11">
        <f t="shared" si="9"/>
        <v>15406.875217214147</v>
      </c>
      <c r="F50" s="11">
        <f t="shared" si="9"/>
        <v>24807.633134904107</v>
      </c>
      <c r="G50" s="11">
        <f t="shared" si="9"/>
        <v>28724.705555552624</v>
      </c>
      <c r="H50" s="11">
        <f t="shared" si="9"/>
        <v>23363.151897496355</v>
      </c>
      <c r="I50" s="11">
        <f t="shared" si="9"/>
        <v>22482.114120806109</v>
      </c>
      <c r="J50" s="11">
        <f t="shared" si="9"/>
        <v>28078.881685857654</v>
      </c>
      <c r="K50" s="11">
        <f t="shared" si="9"/>
        <v>40576.109223667612</v>
      </c>
    </row>
    <row r="51" spans="1:15" ht="15" customHeight="1" x14ac:dyDescent="0.2">
      <c r="A51" s="5" t="s">
        <v>800</v>
      </c>
      <c r="B51" s="11">
        <f>B14</f>
        <v>1016023</v>
      </c>
      <c r="C51" s="22">
        <f t="shared" ref="C51:K51" si="10">B58</f>
        <v>1016023</v>
      </c>
      <c r="D51" s="22">
        <f t="shared" si="10"/>
        <v>1051712.3560000001</v>
      </c>
      <c r="E51" s="22">
        <f t="shared" si="10"/>
        <v>1101011.253088</v>
      </c>
      <c r="F51" s="22">
        <f t="shared" si="10"/>
        <v>1145141.9824646078</v>
      </c>
      <c r="G51" s="22">
        <f t="shared" si="10"/>
        <v>1170913.2520612939</v>
      </c>
      <c r="H51" s="22">
        <f t="shared" si="10"/>
        <v>1229372.5759164197</v>
      </c>
      <c r="I51" s="22">
        <f t="shared" si="10"/>
        <v>1285994.4429844914</v>
      </c>
      <c r="J51" s="22">
        <f t="shared" si="10"/>
        <v>1384379.1535372818</v>
      </c>
      <c r="K51" s="22">
        <f t="shared" si="10"/>
        <v>1497236.5072808759</v>
      </c>
    </row>
    <row r="52" spans="1:15" ht="15" customHeight="1" x14ac:dyDescent="0.2">
      <c r="A52" s="5" t="s">
        <v>801</v>
      </c>
      <c r="B52" s="22">
        <f t="shared" ref="B52:K52" si="11">IF(OR(B51&lt;=0,B48&lt;=0),0,PMT(B25,B48,-B51)-B51*B25)</f>
        <v>27830.778957979939</v>
      </c>
      <c r="C52" s="22">
        <f t="shared" si="11"/>
        <v>29921.814462608654</v>
      </c>
      <c r="D52" s="22">
        <f t="shared" si="11"/>
        <v>32601.175383624333</v>
      </c>
      <c r="E52" s="22">
        <f t="shared" si="11"/>
        <v>36466.009652130466</v>
      </c>
      <c r="F52" s="22">
        <f t="shared" si="11"/>
        <v>41282.198159652165</v>
      </c>
      <c r="G52" s="22">
        <f t="shared" si="11"/>
        <v>45469.93719317473</v>
      </c>
      <c r="H52" s="22">
        <f t="shared" si="11"/>
        <v>50179.26262550032</v>
      </c>
      <c r="I52" s="22">
        <f t="shared" si="11"/>
        <v>53939.33307459022</v>
      </c>
      <c r="J52" s="22">
        <f t="shared" si="11"/>
        <v>60972.393449461371</v>
      </c>
      <c r="K52" s="22">
        <f t="shared" si="11"/>
        <v>70942.615422685369</v>
      </c>
    </row>
    <row r="53" spans="1:15" ht="15" customHeight="1" x14ac:dyDescent="0.2">
      <c r="A53" s="7" t="s">
        <v>802</v>
      </c>
      <c r="B53" s="13">
        <f t="shared" ref="B53:K53" si="12">B50-B52</f>
        <v>817.92874202005987</v>
      </c>
      <c r="C53" s="13">
        <f t="shared" si="12"/>
        <v>7194.4558079867238</v>
      </c>
      <c r="D53" s="13">
        <f t="shared" si="12"/>
        <v>-3316.6094998134395</v>
      </c>
      <c r="E53" s="13">
        <f t="shared" si="12"/>
        <v>-21059.134434916319</v>
      </c>
      <c r="F53" s="13">
        <f t="shared" si="12"/>
        <v>-16474.565024748059</v>
      </c>
      <c r="G53" s="13">
        <f t="shared" si="12"/>
        <v>-16745.231637622106</v>
      </c>
      <c r="H53" s="13">
        <f t="shared" si="12"/>
        <v>-26816.110728003965</v>
      </c>
      <c r="I53" s="13">
        <f t="shared" si="12"/>
        <v>-31457.218953784111</v>
      </c>
      <c r="J53" s="13">
        <f t="shared" si="12"/>
        <v>-32893.511763603718</v>
      </c>
      <c r="K53" s="13">
        <f t="shared" si="12"/>
        <v>-30366.506199017756</v>
      </c>
    </row>
    <row r="54" spans="1:15" ht="15" customHeight="1" x14ac:dyDescent="0.2">
      <c r="A54" s="5"/>
      <c r="B54" s="22"/>
      <c r="C54" s="22"/>
      <c r="D54" s="22"/>
      <c r="E54" s="22"/>
      <c r="F54" s="22"/>
      <c r="G54" s="22"/>
      <c r="H54" s="22"/>
      <c r="I54" s="22"/>
      <c r="J54" s="22"/>
      <c r="K54" s="22"/>
      <c r="O54" s="4"/>
    </row>
    <row r="55" spans="1:15" ht="15" customHeight="1" x14ac:dyDescent="0.2">
      <c r="A55" s="5" t="s">
        <v>803</v>
      </c>
      <c r="B55" s="22">
        <f>B20*B35+B19</f>
        <v>1016023</v>
      </c>
      <c r="C55" s="22">
        <f>B20*C35+B19</f>
        <v>1051712.3560000001</v>
      </c>
      <c r="D55" s="22">
        <f>B20*D35+B19</f>
        <v>1101011.253088</v>
      </c>
      <c r="E55" s="22">
        <f>B20*E35+B19</f>
        <v>1145141.9824646078</v>
      </c>
      <c r="F55" s="22">
        <f>B20*F35+B19</f>
        <v>1170913.2520612939</v>
      </c>
      <c r="G55" s="22">
        <f>B20*G35+B19</f>
        <v>1229372.5759164197</v>
      </c>
      <c r="H55" s="22">
        <f>B20*H35+B19</f>
        <v>1285994.4429844914</v>
      </c>
      <c r="I55" s="22">
        <f>B20*I35+B19</f>
        <v>1384379.1535372818</v>
      </c>
      <c r="J55" s="22">
        <f>B20*J35+B19</f>
        <v>1497236.5072808759</v>
      </c>
      <c r="K55" s="22">
        <f>B20*K35+B19</f>
        <v>1587064.1622250094</v>
      </c>
    </row>
    <row r="56" spans="1:15" ht="15" customHeight="1" x14ac:dyDescent="0.2">
      <c r="A56" s="7" t="s">
        <v>804</v>
      </c>
      <c r="B56" s="13">
        <f t="shared" ref="B56:K56" si="13">IF($B$8=1,MAX(0,B53),IF($B$8=2,0,IF($B$8=3,MAX(0,B50+B55-B51),0)))</f>
        <v>28648.707700000028</v>
      </c>
      <c r="C56" s="13">
        <f t="shared" si="13"/>
        <v>72805.626270595472</v>
      </c>
      <c r="D56" s="13">
        <f t="shared" si="13"/>
        <v>78583.462971810717</v>
      </c>
      <c r="E56" s="13">
        <f t="shared" si="13"/>
        <v>59537.604593822034</v>
      </c>
      <c r="F56" s="13">
        <f t="shared" si="13"/>
        <v>50578.902731590206</v>
      </c>
      <c r="G56" s="13">
        <f t="shared" si="13"/>
        <v>87184.029410678428</v>
      </c>
      <c r="H56" s="13">
        <f t="shared" si="13"/>
        <v>79985.018965567928</v>
      </c>
      <c r="I56" s="13">
        <f t="shared" si="13"/>
        <v>120866.82467359654</v>
      </c>
      <c r="J56" s="13">
        <f t="shared" si="13"/>
        <v>140936.2354294518</v>
      </c>
      <c r="K56" s="13">
        <f t="shared" si="13"/>
        <v>130403.76416780101</v>
      </c>
    </row>
    <row r="57" spans="1:15" ht="15" customHeight="1" x14ac:dyDescent="0.2">
      <c r="A57" s="5" t="s">
        <v>805</v>
      </c>
      <c r="B57" s="22">
        <f t="shared" ref="B57:K57" si="14">IF($B$8=1,0,IF($B$8=2,MAX(0,B53),0))</f>
        <v>0</v>
      </c>
      <c r="C57" s="22">
        <f t="shared" si="14"/>
        <v>0</v>
      </c>
      <c r="D57" s="22">
        <f t="shared" si="14"/>
        <v>0</v>
      </c>
      <c r="E57" s="22">
        <f t="shared" si="14"/>
        <v>0</v>
      </c>
      <c r="F57" s="22">
        <f t="shared" si="14"/>
        <v>0</v>
      </c>
      <c r="G57" s="22">
        <f t="shared" si="14"/>
        <v>0</v>
      </c>
      <c r="H57" s="22">
        <f t="shared" si="14"/>
        <v>0</v>
      </c>
      <c r="I57" s="22">
        <f t="shared" si="14"/>
        <v>0</v>
      </c>
      <c r="J57" s="22">
        <f t="shared" si="14"/>
        <v>0</v>
      </c>
      <c r="K57" s="22">
        <f t="shared" si="14"/>
        <v>0</v>
      </c>
    </row>
    <row r="58" spans="1:15" ht="15" customHeight="1" x14ac:dyDescent="0.2">
      <c r="A58" s="7" t="s">
        <v>806</v>
      </c>
      <c r="B58" s="13">
        <f t="shared" ref="B58:K58" si="15">IF($B$8=3,B55,MAX(0,B51-B52-B57))</f>
        <v>1016023</v>
      </c>
      <c r="C58" s="13">
        <f t="shared" si="15"/>
        <v>1051712.3560000001</v>
      </c>
      <c r="D58" s="13">
        <f t="shared" si="15"/>
        <v>1101011.253088</v>
      </c>
      <c r="E58" s="13">
        <f t="shared" si="15"/>
        <v>1145141.9824646078</v>
      </c>
      <c r="F58" s="13">
        <f t="shared" si="15"/>
        <v>1170913.2520612939</v>
      </c>
      <c r="G58" s="13">
        <f t="shared" si="15"/>
        <v>1229372.5759164197</v>
      </c>
      <c r="H58" s="13">
        <f t="shared" si="15"/>
        <v>1285994.4429844914</v>
      </c>
      <c r="I58" s="13">
        <f t="shared" si="15"/>
        <v>1384379.1535372818</v>
      </c>
      <c r="J58" s="13">
        <f t="shared" si="15"/>
        <v>1497236.5072808759</v>
      </c>
      <c r="K58" s="13">
        <f t="shared" si="15"/>
        <v>1587064.1622250094</v>
      </c>
    </row>
    <row r="59" spans="1:15" ht="15" customHeight="1" x14ac:dyDescent="0.2">
      <c r="A59" s="18"/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1:15" ht="15" customHeight="1" x14ac:dyDescent="0.2">
      <c r="A60" s="18" t="s">
        <v>667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</row>
    <row r="61" spans="1:15" ht="15" customHeight="1" x14ac:dyDescent="0.2">
      <c r="A61" s="5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5" ht="15" customHeight="1" x14ac:dyDescent="0.2">
      <c r="A62" s="5" t="s">
        <v>807</v>
      </c>
      <c r="B62" s="22">
        <f t="shared" ref="B62:K62" si="16">IF(B27=0,0,B33/B27)</f>
        <v>1920291.4389799638</v>
      </c>
      <c r="C62" s="22">
        <f t="shared" si="16"/>
        <v>2033878.2867783988</v>
      </c>
      <c r="D62" s="22">
        <f t="shared" si="16"/>
        <v>2360036.8798350515</v>
      </c>
      <c r="E62" s="22">
        <f t="shared" si="16"/>
        <v>2595963.4424303267</v>
      </c>
      <c r="F62" s="22">
        <f t="shared" si="16"/>
        <v>2610177.3150690724</v>
      </c>
      <c r="G62" s="22">
        <f t="shared" si="16"/>
        <v>2905032.6513611265</v>
      </c>
      <c r="H62" s="22">
        <f t="shared" si="16"/>
        <v>3119376.7698023696</v>
      </c>
      <c r="I62" s="22">
        <f t="shared" si="16"/>
        <v>3177925.0722509678</v>
      </c>
      <c r="J62" s="22">
        <f t="shared" si="16"/>
        <v>3389545.9918349525</v>
      </c>
      <c r="K62" s="22">
        <f t="shared" si="16"/>
        <v>3550201.78070436</v>
      </c>
    </row>
    <row r="63" spans="1:15" ht="15" customHeight="1" x14ac:dyDescent="0.2">
      <c r="A63" s="5" t="s">
        <v>808</v>
      </c>
      <c r="B63" s="11">
        <f>B13</f>
        <v>44824</v>
      </c>
      <c r="C63" s="11">
        <f>B13</f>
        <v>44824</v>
      </c>
      <c r="D63" s="11">
        <f>B13</f>
        <v>44824</v>
      </c>
      <c r="E63" s="11">
        <f>B13</f>
        <v>44824</v>
      </c>
      <c r="F63" s="11">
        <f>B13</f>
        <v>44824</v>
      </c>
      <c r="G63" s="11">
        <f>B13</f>
        <v>44824</v>
      </c>
      <c r="H63" s="11">
        <f>B13</f>
        <v>44824</v>
      </c>
      <c r="I63" s="11">
        <f>B13</f>
        <v>44824</v>
      </c>
      <c r="J63" s="11">
        <f>B13</f>
        <v>44824</v>
      </c>
      <c r="K63" s="11">
        <f>B13</f>
        <v>44824</v>
      </c>
    </row>
    <row r="64" spans="1:15" ht="15" customHeight="1" x14ac:dyDescent="0.2">
      <c r="A64" s="5" t="s">
        <v>809</v>
      </c>
      <c r="B64" s="11">
        <f t="shared" ref="B64:K64" si="17">B58</f>
        <v>1016023</v>
      </c>
      <c r="C64" s="11">
        <f t="shared" si="17"/>
        <v>1051712.3560000001</v>
      </c>
      <c r="D64" s="11">
        <f t="shared" si="17"/>
        <v>1101011.253088</v>
      </c>
      <c r="E64" s="11">
        <f t="shared" si="17"/>
        <v>1145141.9824646078</v>
      </c>
      <c r="F64" s="11">
        <f t="shared" si="17"/>
        <v>1170913.2520612939</v>
      </c>
      <c r="G64" s="11">
        <f t="shared" si="17"/>
        <v>1229372.5759164197</v>
      </c>
      <c r="H64" s="11">
        <f t="shared" si="17"/>
        <v>1285994.4429844914</v>
      </c>
      <c r="I64" s="11">
        <f t="shared" si="17"/>
        <v>1384379.1535372818</v>
      </c>
      <c r="J64" s="11">
        <f t="shared" si="17"/>
        <v>1497236.5072808759</v>
      </c>
      <c r="K64" s="11">
        <f t="shared" si="17"/>
        <v>1587064.1622250094</v>
      </c>
    </row>
    <row r="65" spans="1:11" ht="15" customHeight="1" x14ac:dyDescent="0.2">
      <c r="A65" s="5" t="s">
        <v>810</v>
      </c>
      <c r="B65" s="11">
        <f>B15</f>
        <v>221160</v>
      </c>
      <c r="C65" s="11">
        <f>B15</f>
        <v>221160</v>
      </c>
      <c r="D65" s="11">
        <f>B15</f>
        <v>221160</v>
      </c>
      <c r="E65" s="11">
        <f>B15</f>
        <v>221160</v>
      </c>
      <c r="F65" s="11">
        <f>B15</f>
        <v>221160</v>
      </c>
      <c r="G65" s="11">
        <f>B15</f>
        <v>221160</v>
      </c>
      <c r="H65" s="11">
        <f>B15</f>
        <v>221160</v>
      </c>
      <c r="I65" s="11">
        <f>B15</f>
        <v>221160</v>
      </c>
      <c r="J65" s="11">
        <f>B15</f>
        <v>221160</v>
      </c>
      <c r="K65" s="11">
        <f>B15</f>
        <v>221160</v>
      </c>
    </row>
    <row r="66" spans="1:11" ht="15" customHeight="1" x14ac:dyDescent="0.2">
      <c r="A66" s="7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ht="15" customHeight="1" x14ac:dyDescent="0.2">
      <c r="A67" s="7" t="s">
        <v>811</v>
      </c>
      <c r="B67" s="13">
        <f t="shared" ref="B67:K67" si="18">B62+B63-B64-B65</f>
        <v>727932.43897996377</v>
      </c>
      <c r="C67" s="13">
        <f t="shared" si="18"/>
        <v>805829.93077839864</v>
      </c>
      <c r="D67" s="13">
        <f t="shared" si="18"/>
        <v>1082689.6267470515</v>
      </c>
      <c r="E67" s="13">
        <f t="shared" si="18"/>
        <v>1274485.4599657189</v>
      </c>
      <c r="F67" s="13">
        <f t="shared" si="18"/>
        <v>1262928.0630077785</v>
      </c>
      <c r="G67" s="13">
        <f t="shared" si="18"/>
        <v>1499324.0754447067</v>
      </c>
      <c r="H67" s="13">
        <f t="shared" si="18"/>
        <v>1657046.3268178783</v>
      </c>
      <c r="I67" s="13">
        <f t="shared" si="18"/>
        <v>1617209.9187136861</v>
      </c>
      <c r="J67" s="13">
        <f t="shared" si="18"/>
        <v>1715973.4845540766</v>
      </c>
      <c r="K67" s="13">
        <f t="shared" si="18"/>
        <v>1786801.6184793506</v>
      </c>
    </row>
    <row r="68" spans="1:11" ht="15" customHeight="1" x14ac:dyDescent="0.2">
      <c r="A68" s="5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" customHeight="1" x14ac:dyDescent="0.2">
      <c r="A69" s="5" t="s">
        <v>67</v>
      </c>
      <c r="B69" s="22">
        <f>B64-B19</f>
        <v>991371</v>
      </c>
      <c r="C69" s="22">
        <f>C64-B19</f>
        <v>1027060.3560000001</v>
      </c>
      <c r="D69" s="22">
        <f>D64-B19</f>
        <v>1076359.253088</v>
      </c>
      <c r="E69" s="22">
        <f>E64-B19</f>
        <v>1120489.9824646078</v>
      </c>
      <c r="F69" s="22">
        <f>F64-B19</f>
        <v>1146261.2520612939</v>
      </c>
      <c r="G69" s="22">
        <f>G64-B19</f>
        <v>1204720.5759164197</v>
      </c>
      <c r="H69" s="22">
        <f>H64-B19</f>
        <v>1261342.4429844914</v>
      </c>
      <c r="I69" s="22">
        <f>I64-B19</f>
        <v>1359727.1535372818</v>
      </c>
      <c r="J69" s="22">
        <f>J64-B19</f>
        <v>1472584.5072808759</v>
      </c>
      <c r="K69" s="22">
        <f>K64-B19</f>
        <v>1562412.1622250094</v>
      </c>
    </row>
    <row r="70" spans="1:11" ht="15" customHeight="1" x14ac:dyDescent="0.2">
      <c r="A70" s="5" t="s">
        <v>68</v>
      </c>
      <c r="B70" s="65">
        <f t="shared" ref="B70:K70" si="19">IF(B35=0,"",B69/B35)</f>
        <v>10.695439686700974</v>
      </c>
      <c r="C70" s="65">
        <f t="shared" si="19"/>
        <v>10.695439686700976</v>
      </c>
      <c r="D70" s="65">
        <f t="shared" si="19"/>
        <v>10.695439686700974</v>
      </c>
      <c r="E70" s="65">
        <f t="shared" si="19"/>
        <v>10.695439686700972</v>
      </c>
      <c r="F70" s="65">
        <f t="shared" si="19"/>
        <v>10.695439686700974</v>
      </c>
      <c r="G70" s="65">
        <f t="shared" si="19"/>
        <v>10.695439686700974</v>
      </c>
      <c r="H70" s="65">
        <f t="shared" si="19"/>
        <v>10.695439686700974</v>
      </c>
      <c r="I70" s="65">
        <f t="shared" si="19"/>
        <v>10.695439686700974</v>
      </c>
      <c r="J70" s="65">
        <f t="shared" si="19"/>
        <v>10.695439686700974</v>
      </c>
      <c r="K70" s="65">
        <f t="shared" si="19"/>
        <v>10.695439686700974</v>
      </c>
    </row>
    <row r="71" spans="1:11" ht="15" customHeight="1" x14ac:dyDescent="0.2">
      <c r="A71" s="18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ht="15" customHeight="1" x14ac:dyDescent="0.2">
      <c r="A72" s="18" t="s">
        <v>812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 ht="15" customHeight="1" x14ac:dyDescent="0.2">
      <c r="A73" s="5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ht="15" customHeight="1" x14ac:dyDescent="0.2">
      <c r="A74" s="5" t="s">
        <v>42</v>
      </c>
      <c r="B74" s="52">
        <f>B39/B17</f>
        <v>0.8657955238652838</v>
      </c>
      <c r="C74" s="52">
        <f>C39/B17</f>
        <v>0.92930761821121888</v>
      </c>
      <c r="D74" s="52">
        <f>D39/B17</f>
        <v>0.97038724693319955</v>
      </c>
      <c r="E74" s="52">
        <f>E39/B17</f>
        <v>1.0153063104217686</v>
      </c>
      <c r="F74" s="52">
        <f>F39/B17</f>
        <v>1.0645781380565031</v>
      </c>
      <c r="G74" s="52">
        <f>G39/B17</f>
        <v>1.1490625692173211</v>
      </c>
      <c r="H74" s="52">
        <f>H39/B17</f>
        <v>1.1744162674775191</v>
      </c>
      <c r="I74" s="52">
        <f>I39/B17</f>
        <v>1.1985567220920585</v>
      </c>
      <c r="J74" s="52">
        <f>J39/B17</f>
        <v>1.2438682147678881</v>
      </c>
      <c r="K74" s="52">
        <f>K39/B17</f>
        <v>1.2891856404883291</v>
      </c>
    </row>
    <row r="75" spans="1:11" ht="15" customHeight="1" x14ac:dyDescent="0.2">
      <c r="A75" s="5" t="s">
        <v>504</v>
      </c>
      <c r="B75" s="52">
        <f>B41/B17</f>
        <v>0.77043172973090823</v>
      </c>
      <c r="C75" s="52">
        <f>C41/B17</f>
        <v>0.75270765380836091</v>
      </c>
      <c r="D75" s="52">
        <f>D41/B17</f>
        <v>0.7956324152534382</v>
      </c>
      <c r="E75" s="52">
        <f>E41/B17</f>
        <v>0.84601924075519219</v>
      </c>
      <c r="F75" s="52">
        <f>F41/B17</f>
        <v>0.90324305676697081</v>
      </c>
      <c r="G75" s="52">
        <f>G41/B17</f>
        <v>0.98760376929615568</v>
      </c>
      <c r="H75" s="52">
        <f>H41/B17</f>
        <v>1.0045858638398484</v>
      </c>
      <c r="I75" s="52">
        <f>I41/B17</f>
        <v>1.0211137681892506</v>
      </c>
      <c r="J75" s="52">
        <f>J41/B17</f>
        <v>1.0593210546109719</v>
      </c>
      <c r="K75" s="52">
        <f>K41/B17</f>
        <v>1.1090367810216217</v>
      </c>
    </row>
    <row r="76" spans="1:11" ht="15" customHeight="1" x14ac:dyDescent="0.2">
      <c r="A76" s="7" t="s">
        <v>44</v>
      </c>
      <c r="B76" s="14">
        <f>B56/B17</f>
        <v>0.39936304923608829</v>
      </c>
      <c r="C76" s="14">
        <f>C56/B17</f>
        <v>1.0149105925977957</v>
      </c>
      <c r="D76" s="14">
        <f>D56/B17</f>
        <v>1.0954536490996252</v>
      </c>
      <c r="E76" s="14">
        <f>E56/B17</f>
        <v>0.82995434083057373</v>
      </c>
      <c r="F76" s="14">
        <f>F56/B17</f>
        <v>0.70507001688957016</v>
      </c>
      <c r="G76" s="14">
        <f>G56/B17</f>
        <v>1.2153455644401476</v>
      </c>
      <c r="H76" s="14">
        <f>H56/B17</f>
        <v>1.1149913427786318</v>
      </c>
      <c r="I76" s="14">
        <f>I56/B17</f>
        <v>1.6848838055313446</v>
      </c>
      <c r="J76" s="14">
        <f>J56/B17</f>
        <v>1.9646514362307879</v>
      </c>
      <c r="K76" s="14">
        <f>K56/B17</f>
        <v>1.8178287633517483</v>
      </c>
    </row>
    <row r="77" spans="1:11" ht="15" customHeight="1" x14ac:dyDescent="0.2">
      <c r="A77" s="7" t="s">
        <v>625</v>
      </c>
      <c r="B77" s="14">
        <f>B67/B17</f>
        <v>10.147379822961467</v>
      </c>
      <c r="C77" s="14">
        <f>C67/B17</f>
        <v>11.233271032374242</v>
      </c>
      <c r="D77" s="14">
        <f>D67/B17</f>
        <v>15.092695811685228</v>
      </c>
      <c r="E77" s="14">
        <f>E67/B17</f>
        <v>17.766330154534945</v>
      </c>
      <c r="F77" s="14">
        <f>F67/B17</f>
        <v>17.605220015163635</v>
      </c>
      <c r="G77" s="14">
        <f>G67/B17</f>
        <v>20.900580955792165</v>
      </c>
      <c r="H77" s="14">
        <f>H67/B17</f>
        <v>23.099229491717942</v>
      </c>
      <c r="I77" s="14">
        <f>I67/B17</f>
        <v>22.543909873894364</v>
      </c>
      <c r="J77" s="14">
        <f>J67/B17</f>
        <v>23.920674201991698</v>
      </c>
      <c r="K77" s="14">
        <f>K67/B17</f>
        <v>24.908018546885113</v>
      </c>
    </row>
    <row r="78" spans="1:11" ht="15" customHeight="1" x14ac:dyDescent="0.2">
      <c r="A78" s="7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ht="15" customHeight="1" x14ac:dyDescent="0.2">
      <c r="A79" s="5" t="s">
        <v>681</v>
      </c>
      <c r="B79" s="20">
        <f t="shared" ref="B79:K79" si="20">IF(B41=0,"",B56/B41)</f>
        <v>0.51836267098653299</v>
      </c>
      <c r="C79" s="20">
        <f t="shared" si="20"/>
        <v>1.3483463167443646</v>
      </c>
      <c r="D79" s="20">
        <f t="shared" si="20"/>
        <v>1.376833859579091</v>
      </c>
      <c r="E79" s="20">
        <f t="shared" si="20"/>
        <v>0.98101118845680346</v>
      </c>
      <c r="F79" s="20">
        <f t="shared" si="20"/>
        <v>0.78059832467826251</v>
      </c>
      <c r="G79" s="20">
        <f t="shared" si="20"/>
        <v>1.2306003705375677</v>
      </c>
      <c r="H79" s="20">
        <f t="shared" si="20"/>
        <v>1.1099014856896137</v>
      </c>
      <c r="I79" s="20">
        <f t="shared" si="20"/>
        <v>1.6500451350481375</v>
      </c>
      <c r="J79" s="20">
        <f t="shared" si="20"/>
        <v>1.8546326703119216</v>
      </c>
      <c r="K79" s="20">
        <f t="shared" si="20"/>
        <v>1.6391059290902885</v>
      </c>
    </row>
    <row r="80" spans="1:11" ht="15" customHeight="1" x14ac:dyDescent="0.2">
      <c r="A80" s="5" t="s">
        <v>68</v>
      </c>
      <c r="B80" s="25">
        <f t="shared" ref="B80:K80" si="21">B70</f>
        <v>10.695439686700974</v>
      </c>
      <c r="C80" s="25">
        <f t="shared" si="21"/>
        <v>10.695439686700976</v>
      </c>
      <c r="D80" s="25">
        <f t="shared" si="21"/>
        <v>10.695439686700974</v>
      </c>
      <c r="E80" s="25">
        <f t="shared" si="21"/>
        <v>10.695439686700972</v>
      </c>
      <c r="F80" s="25">
        <f t="shared" si="21"/>
        <v>10.695439686700974</v>
      </c>
      <c r="G80" s="25">
        <f t="shared" si="21"/>
        <v>10.695439686700974</v>
      </c>
      <c r="H80" s="25">
        <f t="shared" si="21"/>
        <v>10.695439686700974</v>
      </c>
      <c r="I80" s="25">
        <f t="shared" si="21"/>
        <v>10.695439686700974</v>
      </c>
      <c r="J80" s="25">
        <f t="shared" si="21"/>
        <v>10.695439686700974</v>
      </c>
      <c r="K80" s="25">
        <f t="shared" si="21"/>
        <v>10.695439686700974</v>
      </c>
    </row>
    <row r="81" spans="1:15" ht="15" customHeight="1" x14ac:dyDescent="0.2">
      <c r="A81" s="5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5" ht="15" customHeight="1" x14ac:dyDescent="0.2">
      <c r="A82" s="18" t="s">
        <v>813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5" ht="15" customHeight="1" x14ac:dyDescent="0.2">
      <c r="A83" s="18"/>
    </row>
    <row r="84" spans="1:15" ht="15" customHeight="1" x14ac:dyDescent="0.2">
      <c r="A84" s="5" t="s">
        <v>814</v>
      </c>
      <c r="B84" s="52"/>
      <c r="C84" s="19">
        <f t="shared" ref="C84:K84" si="22">B77</f>
        <v>10.147379822961467</v>
      </c>
      <c r="D84" s="19">
        <f t="shared" si="22"/>
        <v>11.233271032374242</v>
      </c>
      <c r="E84" s="19">
        <f t="shared" si="22"/>
        <v>15.092695811685228</v>
      </c>
      <c r="F84" s="19">
        <f t="shared" si="22"/>
        <v>17.766330154534945</v>
      </c>
      <c r="G84" s="19">
        <f t="shared" si="22"/>
        <v>17.605220015163635</v>
      </c>
      <c r="H84" s="19">
        <f t="shared" si="22"/>
        <v>20.900580955792165</v>
      </c>
      <c r="I84" s="19">
        <f t="shared" si="22"/>
        <v>23.099229491717942</v>
      </c>
      <c r="J84" s="19">
        <f t="shared" si="22"/>
        <v>22.543909873894364</v>
      </c>
      <c r="K84" s="19">
        <f t="shared" si="22"/>
        <v>23.920674201991698</v>
      </c>
    </row>
    <row r="85" spans="1:15" ht="15" customHeight="1" x14ac:dyDescent="0.2">
      <c r="A85" s="5" t="s">
        <v>139</v>
      </c>
      <c r="B85" s="57"/>
      <c r="C85" s="19">
        <f t="shared" ref="C85:K85" si="23">C77</f>
        <v>11.233271032374242</v>
      </c>
      <c r="D85" s="19">
        <f t="shared" si="23"/>
        <v>15.092695811685228</v>
      </c>
      <c r="E85" s="19">
        <f t="shared" si="23"/>
        <v>17.766330154534945</v>
      </c>
      <c r="F85" s="19">
        <f t="shared" si="23"/>
        <v>17.605220015163635</v>
      </c>
      <c r="G85" s="19">
        <f t="shared" si="23"/>
        <v>20.900580955792165</v>
      </c>
      <c r="H85" s="19">
        <f t="shared" si="23"/>
        <v>23.099229491717942</v>
      </c>
      <c r="I85" s="19">
        <f t="shared" si="23"/>
        <v>22.543909873894364</v>
      </c>
      <c r="J85" s="19">
        <f t="shared" si="23"/>
        <v>23.920674201991698</v>
      </c>
      <c r="K85" s="19">
        <f t="shared" si="23"/>
        <v>24.908018546885113</v>
      </c>
    </row>
    <row r="86" spans="1:15" ht="15" customHeight="1" x14ac:dyDescent="0.2">
      <c r="A86" s="5" t="s">
        <v>44</v>
      </c>
      <c r="C86" s="19">
        <f t="shared" ref="C86:K86" si="24">C76</f>
        <v>1.0149105925977957</v>
      </c>
      <c r="D86" s="19">
        <f t="shared" si="24"/>
        <v>1.0954536490996252</v>
      </c>
      <c r="E86" s="19">
        <f t="shared" si="24"/>
        <v>0.82995434083057373</v>
      </c>
      <c r="F86" s="19">
        <f t="shared" si="24"/>
        <v>0.70507001688957016</v>
      </c>
      <c r="G86" s="19">
        <f t="shared" si="24"/>
        <v>1.2153455644401476</v>
      </c>
      <c r="H86" s="19">
        <f t="shared" si="24"/>
        <v>1.1149913427786318</v>
      </c>
      <c r="I86" s="19">
        <f t="shared" si="24"/>
        <v>1.6848838055313446</v>
      </c>
      <c r="J86" s="19">
        <f t="shared" si="24"/>
        <v>1.9646514362307879</v>
      </c>
      <c r="K86" s="19">
        <f t="shared" si="24"/>
        <v>1.8178287633517483</v>
      </c>
    </row>
    <row r="87" spans="1:15" ht="15" customHeight="1" x14ac:dyDescent="0.2">
      <c r="A87" s="5"/>
      <c r="C87" s="19"/>
      <c r="D87" s="19"/>
      <c r="E87" s="19"/>
      <c r="F87" s="19"/>
      <c r="G87" s="19"/>
      <c r="H87" s="19"/>
      <c r="I87" s="19"/>
      <c r="J87" s="19"/>
      <c r="K87" s="19"/>
    </row>
    <row r="88" spans="1:15" ht="15" customHeight="1" x14ac:dyDescent="0.2">
      <c r="A88" s="7" t="s">
        <v>815</v>
      </c>
      <c r="C88" s="57">
        <f t="shared" ref="C88:K88" si="25">IF(OR(C84="",C84=0),"",(C85+C86-C84)/C84)</f>
        <v>0.20702899060276439</v>
      </c>
      <c r="D88" s="57">
        <f t="shared" si="25"/>
        <v>0.44108954676965162</v>
      </c>
      <c r="E88" s="57">
        <f t="shared" si="25"/>
        <v>0.23213803070010236</v>
      </c>
      <c r="F88" s="57">
        <f t="shared" si="25"/>
        <v>3.0617458573987674E-2</v>
      </c>
      <c r="G88" s="57">
        <f t="shared" si="25"/>
        <v>0.25621415132463787</v>
      </c>
      <c r="H88" s="57">
        <f t="shared" si="25"/>
        <v>0.15854295561033677</v>
      </c>
      <c r="I88" s="57">
        <f t="shared" si="25"/>
        <v>4.8900513677859456E-2</v>
      </c>
      <c r="J88" s="57">
        <f t="shared" si="25"/>
        <v>0.14821811225378656</v>
      </c>
      <c r="K88" s="57">
        <f t="shared" si="25"/>
        <v>0.11726981792225563</v>
      </c>
    </row>
    <row r="89" spans="1:15" ht="15" customHeight="1" x14ac:dyDescent="0.2">
      <c r="A89" s="5" t="s">
        <v>816</v>
      </c>
      <c r="C89" s="20">
        <f t="shared" ref="C89:K89" si="26">IF(OR(C84="",C84=0),"",C86/C84)</f>
        <v>0.10001701033219022</v>
      </c>
      <c r="D89" s="20">
        <f t="shared" si="26"/>
        <v>9.75186698462569E-2</v>
      </c>
      <c r="E89" s="20">
        <f t="shared" si="26"/>
        <v>5.4990463677668348E-2</v>
      </c>
      <c r="F89" s="20">
        <f t="shared" si="26"/>
        <v>3.9685743243356171E-2</v>
      </c>
      <c r="G89" s="20">
        <f t="shared" si="26"/>
        <v>6.9033250558263551E-2</v>
      </c>
      <c r="H89" s="20">
        <f t="shared" si="26"/>
        <v>5.3347385182115473E-2</v>
      </c>
      <c r="I89" s="20">
        <f t="shared" si="26"/>
        <v>7.2941125855970526E-2</v>
      </c>
      <c r="J89" s="20">
        <f t="shared" si="26"/>
        <v>8.7147768387143693E-2</v>
      </c>
      <c r="K89" s="20">
        <f t="shared" si="26"/>
        <v>7.599404381338011E-2</v>
      </c>
    </row>
    <row r="90" spans="1:15" ht="15" customHeight="1" x14ac:dyDescent="0.2">
      <c r="A90" s="5" t="s">
        <v>817</v>
      </c>
      <c r="C90" s="20">
        <f t="shared" ref="C90:K90" si="27">IF(OR(C84="",C84=0),"",(C85-C84)/C84)</f>
        <v>0.10701198027057421</v>
      </c>
      <c r="D90" s="20">
        <f t="shared" si="27"/>
        <v>0.34357087692339472</v>
      </c>
      <c r="E90" s="20">
        <f t="shared" si="27"/>
        <v>0.17714756702243389</v>
      </c>
      <c r="F90" s="20">
        <f t="shared" si="27"/>
        <v>-9.0682846693685773E-3</v>
      </c>
      <c r="G90" s="20">
        <f t="shared" si="27"/>
        <v>0.18718090076637425</v>
      </c>
      <c r="H90" s="20">
        <f t="shared" si="27"/>
        <v>0.10519557042822136</v>
      </c>
      <c r="I90" s="20">
        <f t="shared" si="27"/>
        <v>-2.4040612178111122E-2</v>
      </c>
      <c r="J90" s="20">
        <f t="shared" si="27"/>
        <v>6.1070343866642847E-2</v>
      </c>
      <c r="K90" s="20">
        <f t="shared" si="27"/>
        <v>4.1275774108875514E-2</v>
      </c>
    </row>
    <row r="91" spans="1:15" ht="15" customHeight="1" x14ac:dyDescent="0.2">
      <c r="A91" s="5"/>
      <c r="B91" s="52"/>
      <c r="C91" s="20"/>
      <c r="D91" s="20"/>
      <c r="E91" s="20"/>
      <c r="F91" s="20"/>
      <c r="G91" s="20"/>
      <c r="H91" s="20"/>
      <c r="I91" s="20"/>
      <c r="J91" s="20"/>
      <c r="K91" s="20"/>
    </row>
    <row r="92" spans="1:15" ht="15" customHeight="1" x14ac:dyDescent="0.2">
      <c r="A92" s="7" t="s">
        <v>818</v>
      </c>
      <c r="C92" s="57">
        <f>C88</f>
        <v>0.20702899060276439</v>
      </c>
      <c r="D92" s="57">
        <f t="shared" ref="D92:K92" si="28">IF(OR(D88="",C92=""),"",(1+C92)*(1+D88)-1)</f>
        <v>0.73943686100556794</v>
      </c>
      <c r="E92" s="57">
        <f t="shared" si="28"/>
        <v>1.1432263084465681</v>
      </c>
      <c r="F92" s="57">
        <f t="shared" si="28"/>
        <v>1.2088464511601114</v>
      </c>
      <c r="G92" s="57">
        <f t="shared" si="28"/>
        <v>1.7747841700505376</v>
      </c>
      <c r="H92" s="57">
        <f t="shared" si="28"/>
        <v>2.2147066535511253</v>
      </c>
      <c r="I92" s="57">
        <f t="shared" si="28"/>
        <v>2.371907460233408</v>
      </c>
      <c r="J92" s="57">
        <f t="shared" si="28"/>
        <v>2.8716852186836639</v>
      </c>
      <c r="K92" s="57">
        <f t="shared" si="28"/>
        <v>3.3257170393309856</v>
      </c>
      <c r="O92" s="4"/>
    </row>
    <row r="93" spans="1:15" ht="15" customHeight="1" x14ac:dyDescent="0.2">
      <c r="A93" s="7" t="s">
        <v>819</v>
      </c>
      <c r="C93" s="57">
        <f>IF(OR(C92="",C92&lt;=-1),"",POWER(1+C92,1/1)-1)</f>
        <v>0.20702899060276447</v>
      </c>
      <c r="D93" s="57">
        <f>IF(OR(D92="",D92&lt;=-1),"",POWER(1+D92,1/2)-1)</f>
        <v>0.31887712126853129</v>
      </c>
      <c r="E93" s="57">
        <f>IF(OR(E92="",E92&lt;=-1),"",POWER(1+E92,1/3)-1)</f>
        <v>0.28930602026286789</v>
      </c>
      <c r="F93" s="57">
        <f>IF(OR(F92="",F92&lt;=-1),"",POWER(1+F92,1/4)-1)</f>
        <v>0.21910575572004265</v>
      </c>
      <c r="G93" s="57">
        <f>IF(OR(G92="",G92&lt;=-1),"",POWER(1+G92,1/5)-1)</f>
        <v>0.22643868733391437</v>
      </c>
      <c r="H93" s="57">
        <f>IF(OR(H92="",H92&lt;=-1),"",POWER(1+H92,1/6)-1)</f>
        <v>0.21485251801763638</v>
      </c>
      <c r="I93" s="57">
        <f>IF(OR(I92="",I92&lt;=-1),"",POWER(1+I92,1/7)-1)</f>
        <v>0.18962698434816461</v>
      </c>
      <c r="J93" s="57">
        <f>IF(OR(J92="",J92&lt;=-1),"",POWER(1+J92,1/8)-1)</f>
        <v>0.18437029137446848</v>
      </c>
      <c r="K93" s="57">
        <f>IF(OR(K92="",K92&lt;=-1),"",POWER(1+K92,1/9)-1)</f>
        <v>0.17671996768235676</v>
      </c>
    </row>
    <row r="94" spans="1:15" ht="15" customHeight="1" x14ac:dyDescent="0.2">
      <c r="A94" s="7"/>
      <c r="C94" s="57"/>
      <c r="D94" s="57"/>
      <c r="E94" s="57"/>
      <c r="F94" s="57"/>
      <c r="G94" s="57"/>
      <c r="H94" s="57"/>
      <c r="I94" s="57"/>
      <c r="J94" s="57"/>
      <c r="K94" s="57"/>
    </row>
    <row r="95" spans="1:15" ht="15" customHeight="1" x14ac:dyDescent="0.2">
      <c r="A95" s="7" t="s">
        <v>820</v>
      </c>
      <c r="C95" s="57"/>
      <c r="D95" s="57"/>
      <c r="E95" s="57"/>
      <c r="F95" s="57"/>
      <c r="G95" s="57"/>
      <c r="H95" s="57"/>
      <c r="I95" s="57"/>
      <c r="J95" s="57"/>
      <c r="K95" s="57"/>
    </row>
    <row r="96" spans="1:15" ht="15" customHeight="1" x14ac:dyDescent="0.2">
      <c r="A96" s="5" t="s">
        <v>821</v>
      </c>
      <c r="B96" s="52">
        <f>-B77</f>
        <v>-10.147379822961467</v>
      </c>
      <c r="C96" s="52">
        <f t="shared" ref="C96:J96" si="29">C76</f>
        <v>1.0149105925977957</v>
      </c>
      <c r="D96" s="52">
        <f t="shared" si="29"/>
        <v>1.0954536490996252</v>
      </c>
      <c r="E96" s="52">
        <f t="shared" si="29"/>
        <v>0.82995434083057373</v>
      </c>
      <c r="F96" s="52">
        <f t="shared" si="29"/>
        <v>0.70507001688957016</v>
      </c>
      <c r="G96" s="52">
        <f t="shared" si="29"/>
        <v>1.2153455644401476</v>
      </c>
      <c r="H96" s="52">
        <f t="shared" si="29"/>
        <v>1.1149913427786318</v>
      </c>
      <c r="I96" s="52">
        <f t="shared" si="29"/>
        <v>1.6848838055313446</v>
      </c>
      <c r="J96" s="52">
        <f t="shared" si="29"/>
        <v>1.9646514362307879</v>
      </c>
      <c r="K96" s="52">
        <f>K76+K77</f>
        <v>26.725847310236862</v>
      </c>
    </row>
    <row r="97" spans="1:11" ht="15" customHeight="1" x14ac:dyDescent="0.2">
      <c r="A97" s="7" t="s">
        <v>822</v>
      </c>
      <c r="B97" s="57">
        <f>IRR(B96:K96)</f>
        <v>0.18648786166740727</v>
      </c>
      <c r="C97" s="52"/>
      <c r="D97" s="52"/>
      <c r="E97" s="52"/>
      <c r="F97" s="52"/>
      <c r="G97" s="52"/>
      <c r="H97" s="52"/>
      <c r="I97" s="52"/>
      <c r="J97" s="52"/>
      <c r="K97" s="52"/>
    </row>
    <row r="98" spans="1:11" ht="15" customHeight="1" x14ac:dyDescent="0.2">
      <c r="A98" s="5"/>
      <c r="B98" s="52"/>
      <c r="C98" s="52"/>
      <c r="D98" s="52"/>
      <c r="E98" s="52"/>
      <c r="F98" s="52"/>
      <c r="G98" s="52"/>
      <c r="H98" s="52"/>
      <c r="I98" s="52"/>
      <c r="J98" s="52"/>
      <c r="K98" s="52"/>
    </row>
    <row r="99" spans="1:11" ht="15" customHeight="1" x14ac:dyDescent="0.2">
      <c r="A99" s="18" t="s">
        <v>823</v>
      </c>
      <c r="B99" s="57"/>
    </row>
    <row r="100" spans="1:11" ht="15" customHeight="1" x14ac:dyDescent="0.2">
      <c r="A100" s="18"/>
    </row>
    <row r="101" spans="1:11" ht="15" customHeight="1" x14ac:dyDescent="0.2">
      <c r="A101" s="7" t="s">
        <v>625</v>
      </c>
    </row>
    <row r="102" spans="1:11" ht="15" customHeight="1" x14ac:dyDescent="0.2">
      <c r="A102" s="5" t="s">
        <v>824</v>
      </c>
      <c r="B102" s="19">
        <f t="shared" ref="B102:K102" si="30">B77</f>
        <v>10.147379822961467</v>
      </c>
      <c r="C102" s="19">
        <f t="shared" si="30"/>
        <v>11.233271032374242</v>
      </c>
      <c r="D102" s="19">
        <f t="shared" si="30"/>
        <v>15.092695811685228</v>
      </c>
      <c r="E102" s="19">
        <f t="shared" si="30"/>
        <v>17.766330154534945</v>
      </c>
      <c r="F102" s="19">
        <f t="shared" si="30"/>
        <v>17.605220015163635</v>
      </c>
      <c r="G102" s="19">
        <f t="shared" si="30"/>
        <v>20.900580955792165</v>
      </c>
      <c r="H102" s="19">
        <f t="shared" si="30"/>
        <v>23.099229491717942</v>
      </c>
      <c r="I102" s="19">
        <f t="shared" si="30"/>
        <v>22.543909873894364</v>
      </c>
      <c r="J102" s="19">
        <f t="shared" si="30"/>
        <v>23.920674201991698</v>
      </c>
      <c r="K102" s="19">
        <f t="shared" si="30"/>
        <v>24.908018546885113</v>
      </c>
    </row>
    <row r="103" spans="1:11" ht="15" customHeight="1" x14ac:dyDescent="0.2">
      <c r="A103" s="5" t="s">
        <v>825</v>
      </c>
      <c r="B103" s="19">
        <f>BS!B59</f>
        <v>10.461274673803947</v>
      </c>
      <c r="C103" s="19">
        <f>BS!C59</f>
        <v>11.462097882219169</v>
      </c>
      <c r="D103" s="19">
        <f>BS!D59</f>
        <v>12.956159311850842</v>
      </c>
      <c r="E103" s="19">
        <f>BS!E59</f>
        <v>16.35821047902969</v>
      </c>
      <c r="F103" s="19">
        <f>BS!F59</f>
        <v>16.476219319007772</v>
      </c>
      <c r="G103" s="19">
        <f>BS!G59</f>
        <v>19.097180639850937</v>
      </c>
      <c r="H103" s="19">
        <f>BS!H59</f>
        <v>19.461896730336214</v>
      </c>
      <c r="I103" s="19">
        <f>BS!I59</f>
        <v>20.985984547498688</v>
      </c>
      <c r="J103" s="19">
        <f>BS!J59</f>
        <v>25.831183487849124</v>
      </c>
      <c r="K103" s="19">
        <f>BS!K59</f>
        <v>25.223921026198358</v>
      </c>
    </row>
    <row r="104" spans="1:11" ht="15" customHeight="1" x14ac:dyDescent="0.2">
      <c r="A104" s="7" t="s">
        <v>826</v>
      </c>
      <c r="B104" s="14">
        <f t="shared" ref="B104:K104" si="31">B102-B103</f>
        <v>-0.31389485084248037</v>
      </c>
      <c r="C104" s="14">
        <f t="shared" si="31"/>
        <v>-0.22882684984492663</v>
      </c>
      <c r="D104" s="14">
        <f t="shared" si="31"/>
        <v>2.1365364998343868</v>
      </c>
      <c r="E104" s="14">
        <f t="shared" si="31"/>
        <v>1.4081196755052545</v>
      </c>
      <c r="F104" s="14">
        <f t="shared" si="31"/>
        <v>1.1290006961558632</v>
      </c>
      <c r="G104" s="14">
        <f t="shared" si="31"/>
        <v>1.8034003159412286</v>
      </c>
      <c r="H104" s="14">
        <f t="shared" si="31"/>
        <v>3.6373327613817281</v>
      </c>
      <c r="I104" s="14">
        <f t="shared" si="31"/>
        <v>1.5579253263956758</v>
      </c>
      <c r="J104" s="14">
        <f t="shared" si="31"/>
        <v>-1.910509285857426</v>
      </c>
      <c r="K104" s="14">
        <f t="shared" si="31"/>
        <v>-0.31590247931324456</v>
      </c>
    </row>
    <row r="105" spans="1:11" ht="15" customHeight="1" x14ac:dyDescent="0.2">
      <c r="A105" s="7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ht="15" customHeight="1" x14ac:dyDescent="0.2">
      <c r="A106" s="7" t="s">
        <v>42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1:11" ht="15" customHeight="1" x14ac:dyDescent="0.2">
      <c r="A107" s="5" t="s">
        <v>824</v>
      </c>
      <c r="B107" s="19">
        <f t="shared" ref="B107:K107" si="32">B74</f>
        <v>0.8657955238652838</v>
      </c>
      <c r="C107" s="19">
        <f t="shared" si="32"/>
        <v>0.92930761821121888</v>
      </c>
      <c r="D107" s="19">
        <f t="shared" si="32"/>
        <v>0.97038724693319955</v>
      </c>
      <c r="E107" s="19">
        <f t="shared" si="32"/>
        <v>1.0153063104217686</v>
      </c>
      <c r="F107" s="19">
        <f t="shared" si="32"/>
        <v>1.0645781380565031</v>
      </c>
      <c r="G107" s="19">
        <f t="shared" si="32"/>
        <v>1.1490625692173211</v>
      </c>
      <c r="H107" s="19">
        <f t="shared" si="32"/>
        <v>1.1744162674775191</v>
      </c>
      <c r="I107" s="19">
        <f t="shared" si="32"/>
        <v>1.1985567220920585</v>
      </c>
      <c r="J107" s="19">
        <f t="shared" si="32"/>
        <v>1.2438682147678881</v>
      </c>
      <c r="K107" s="19">
        <f t="shared" si="32"/>
        <v>1.2891856404883291</v>
      </c>
    </row>
    <row r="108" spans="1:11" ht="15" customHeight="1" x14ac:dyDescent="0.2">
      <c r="A108" s="5" t="s">
        <v>825</v>
      </c>
      <c r="B108" s="19">
        <f>IS!B52</f>
        <v>0.85878458195394425</v>
      </c>
      <c r="C108" s="19">
        <f>IS!C52</f>
        <v>0.88831396679295171</v>
      </c>
      <c r="D108" s="19">
        <f>IS!D52</f>
        <v>0.93832654699776341</v>
      </c>
      <c r="E108" s="19">
        <f>IS!E52</f>
        <v>0.97883520653919132</v>
      </c>
      <c r="F108" s="19">
        <f>IS!F52</f>
        <v>1.0016745930738831</v>
      </c>
      <c r="G108" s="19">
        <f>IS!G52</f>
        <v>1.0681651228208482</v>
      </c>
      <c r="H108" s="19">
        <f>IS!H52</f>
        <v>1.1083778429749993</v>
      </c>
      <c r="I108" s="19">
        <f>IS!I52</f>
        <v>1.1487719471296114</v>
      </c>
      <c r="J108" s="19">
        <f>IS!J52</f>
        <v>1.1769856160100063</v>
      </c>
      <c r="K108" s="19">
        <f>IS!K52</f>
        <v>1.2266533918922173</v>
      </c>
    </row>
    <row r="109" spans="1:11" ht="15" customHeight="1" x14ac:dyDescent="0.2">
      <c r="A109" s="7" t="s">
        <v>826</v>
      </c>
      <c r="B109" s="14">
        <f t="shared" ref="B109:K109" si="33">B107-B108</f>
        <v>7.0109419113395521E-3</v>
      </c>
      <c r="C109" s="14">
        <f t="shared" si="33"/>
        <v>4.0993651418267163E-2</v>
      </c>
      <c r="D109" s="14">
        <f t="shared" si="33"/>
        <v>3.2060699935436143E-2</v>
      </c>
      <c r="E109" s="14">
        <f t="shared" si="33"/>
        <v>3.6471103882577238E-2</v>
      </c>
      <c r="F109" s="14">
        <f t="shared" si="33"/>
        <v>6.2903544982620074E-2</v>
      </c>
      <c r="G109" s="14">
        <f t="shared" si="33"/>
        <v>8.0897446396472894E-2</v>
      </c>
      <c r="H109" s="14">
        <f t="shared" si="33"/>
        <v>6.6038424502519844E-2</v>
      </c>
      <c r="I109" s="14">
        <f t="shared" si="33"/>
        <v>4.9784774962447154E-2</v>
      </c>
      <c r="J109" s="14">
        <f t="shared" si="33"/>
        <v>6.6882598757881828E-2</v>
      </c>
      <c r="K109" s="14">
        <f t="shared" si="33"/>
        <v>6.2532248596111728E-2</v>
      </c>
    </row>
    <row r="110" spans="1:11" ht="15" customHeight="1" x14ac:dyDescent="0.2">
      <c r="A110" s="5"/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1" ht="15" customHeight="1" x14ac:dyDescent="0.2">
      <c r="A111" s="7" t="s">
        <v>504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1" ht="15" customHeight="1" x14ac:dyDescent="0.2">
      <c r="A112" s="5" t="s">
        <v>824</v>
      </c>
      <c r="B112" s="19">
        <f t="shared" ref="B112:K112" si="34">B75</f>
        <v>0.77043172973090823</v>
      </c>
      <c r="C112" s="19">
        <f t="shared" si="34"/>
        <v>0.75270765380836091</v>
      </c>
      <c r="D112" s="19">
        <f t="shared" si="34"/>
        <v>0.7956324152534382</v>
      </c>
      <c r="E112" s="19">
        <f t="shared" si="34"/>
        <v>0.84601924075519219</v>
      </c>
      <c r="F112" s="19">
        <f t="shared" si="34"/>
        <v>0.90324305676697081</v>
      </c>
      <c r="G112" s="19">
        <f t="shared" si="34"/>
        <v>0.98760376929615568</v>
      </c>
      <c r="H112" s="19">
        <f t="shared" si="34"/>
        <v>1.0045858638398484</v>
      </c>
      <c r="I112" s="19">
        <f t="shared" si="34"/>
        <v>1.0211137681892506</v>
      </c>
      <c r="J112" s="19">
        <f t="shared" si="34"/>
        <v>1.0593210546109719</v>
      </c>
      <c r="K112" s="19">
        <f t="shared" si="34"/>
        <v>1.1090367810216217</v>
      </c>
    </row>
    <row r="113" spans="1:11" ht="15" customHeight="1" x14ac:dyDescent="0.2">
      <c r="A113" s="5" t="s">
        <v>825</v>
      </c>
      <c r="B113" s="19">
        <f>IS!B94</f>
        <v>0.76342078781956857</v>
      </c>
      <c r="C113" s="19">
        <f>IS!C94</f>
        <v>0.71171400239009386</v>
      </c>
      <c r="D113" s="19">
        <f>IS!D94</f>
        <v>0.76016516602626594</v>
      </c>
      <c r="E113" s="19">
        <f>IS!E94</f>
        <v>0.80038367704401858</v>
      </c>
      <c r="F113" s="19">
        <f>IS!F94</f>
        <v>0.8307512702984603</v>
      </c>
      <c r="G113" s="19">
        <f>IS!G94</f>
        <v>0.89977245444609677</v>
      </c>
      <c r="H113" s="19">
        <f>IS!H94</f>
        <v>0.93246236532176496</v>
      </c>
      <c r="I113" s="19">
        <f>IS!I94</f>
        <v>0.96830407049385148</v>
      </c>
      <c r="J113" s="19">
        <f>IS!J94</f>
        <v>0.98866986671864721</v>
      </c>
      <c r="K113" s="19">
        <f>IS!K94</f>
        <v>1.042835234891246</v>
      </c>
    </row>
    <row r="114" spans="1:11" ht="15" customHeight="1" x14ac:dyDescent="0.2">
      <c r="A114" s="7" t="s">
        <v>826</v>
      </c>
      <c r="B114" s="14">
        <f t="shared" ref="B114:K114" si="35">B112-B113</f>
        <v>7.0109419113396632E-3</v>
      </c>
      <c r="C114" s="14">
        <f t="shared" si="35"/>
        <v>4.0993651418267052E-2</v>
      </c>
      <c r="D114" s="14">
        <f t="shared" si="35"/>
        <v>3.5467249227172259E-2</v>
      </c>
      <c r="E114" s="14">
        <f t="shared" si="35"/>
        <v>4.563556371117361E-2</v>
      </c>
      <c r="F114" s="14">
        <f t="shared" si="35"/>
        <v>7.2491786468510511E-2</v>
      </c>
      <c r="G114" s="14">
        <f t="shared" si="35"/>
        <v>8.7831314850058906E-2</v>
      </c>
      <c r="H114" s="14">
        <f t="shared" si="35"/>
        <v>7.2123498518083418E-2</v>
      </c>
      <c r="I114" s="14">
        <f t="shared" si="35"/>
        <v>5.2809697695399116E-2</v>
      </c>
      <c r="J114" s="14">
        <f t="shared" si="35"/>
        <v>7.0651187892324718E-2</v>
      </c>
      <c r="K114" s="14">
        <f t="shared" si="35"/>
        <v>6.6201546130375766E-2</v>
      </c>
    </row>
    <row r="115" spans="1:11" ht="15" customHeight="1" x14ac:dyDescent="0.2">
      <c r="A115" s="5"/>
      <c r="B115" s="25"/>
      <c r="C115" s="25"/>
      <c r="D115" s="25"/>
      <c r="E115" s="25"/>
      <c r="F115" s="25"/>
      <c r="G115" s="25"/>
      <c r="H115" s="25"/>
      <c r="I115" s="25"/>
      <c r="J115" s="25"/>
      <c r="K115" s="25"/>
    </row>
    <row r="116" spans="1:11" ht="15" customHeight="1" x14ac:dyDescent="0.2">
      <c r="A116" s="7" t="s">
        <v>68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</row>
    <row r="117" spans="1:11" ht="15" customHeight="1" x14ac:dyDescent="0.2">
      <c r="A117" s="5" t="s">
        <v>824</v>
      </c>
      <c r="B117" s="25">
        <f t="shared" ref="B117:K117" si="36">B80</f>
        <v>10.695439686700974</v>
      </c>
      <c r="C117" s="25">
        <f t="shared" si="36"/>
        <v>10.695439686700976</v>
      </c>
      <c r="D117" s="25">
        <f t="shared" si="36"/>
        <v>10.695439686700974</v>
      </c>
      <c r="E117" s="25">
        <f t="shared" si="36"/>
        <v>10.695439686700972</v>
      </c>
      <c r="F117" s="25">
        <f t="shared" si="36"/>
        <v>10.695439686700974</v>
      </c>
      <c r="G117" s="25">
        <f t="shared" si="36"/>
        <v>10.695439686700974</v>
      </c>
      <c r="H117" s="25">
        <f t="shared" si="36"/>
        <v>10.695439686700974</v>
      </c>
      <c r="I117" s="25">
        <f t="shared" si="36"/>
        <v>10.695439686700974</v>
      </c>
      <c r="J117" s="25">
        <f t="shared" si="36"/>
        <v>10.695439686700974</v>
      </c>
      <c r="K117" s="25">
        <f t="shared" si="36"/>
        <v>10.695439686700974</v>
      </c>
    </row>
    <row r="118" spans="1:11" ht="15" customHeight="1" x14ac:dyDescent="0.2">
      <c r="A118" s="5" t="s">
        <v>825</v>
      </c>
      <c r="B118" s="25">
        <f>BS!B41</f>
        <v>10.450543548317793</v>
      </c>
      <c r="C118" s="25">
        <f>BS!C41</f>
        <v>10.494828174506459</v>
      </c>
      <c r="D118" s="25">
        <f>BS!D41</f>
        <v>11.007250477760554</v>
      </c>
      <c r="E118" s="25">
        <f>BS!E41</f>
        <v>10.043889687438348</v>
      </c>
      <c r="F118" s="25">
        <f>BS!F41</f>
        <v>10.863063266430748</v>
      </c>
      <c r="G118" s="25">
        <f>BS!G41</f>
        <v>11.876139319982936</v>
      </c>
      <c r="H118" s="25">
        <f>BS!H41</f>
        <v>10.791609474173073</v>
      </c>
      <c r="I118" s="25">
        <f>BS!I41</f>
        <v>10.334704031112253</v>
      </c>
      <c r="J118" s="25">
        <f>BS!J41</f>
        <v>10.020954823055821</v>
      </c>
      <c r="K118" s="25">
        <f>BS!K41</f>
        <v>9.6756504590852224</v>
      </c>
    </row>
    <row r="119" spans="1:11" ht="15" customHeight="1" x14ac:dyDescent="0.2">
      <c r="A119" s="7"/>
      <c r="B119" s="57"/>
      <c r="K119" s="4"/>
    </row>
    <row r="120" spans="1:11" ht="15" customHeight="1" x14ac:dyDescent="0.2">
      <c r="A120" s="7" t="s">
        <v>44</v>
      </c>
      <c r="B120" s="8"/>
      <c r="K120" s="47"/>
    </row>
    <row r="121" spans="1:11" ht="15" customHeight="1" x14ac:dyDescent="0.2">
      <c r="A121" s="5" t="s">
        <v>824</v>
      </c>
      <c r="B121" s="19">
        <f t="shared" ref="B121:K121" si="37">B76</f>
        <v>0.39936304923608829</v>
      </c>
      <c r="C121" s="19">
        <f t="shared" si="37"/>
        <v>1.0149105925977957</v>
      </c>
      <c r="D121" s="19">
        <f t="shared" si="37"/>
        <v>1.0954536490996252</v>
      </c>
      <c r="E121" s="19">
        <f t="shared" si="37"/>
        <v>0.82995434083057373</v>
      </c>
      <c r="F121" s="19">
        <f t="shared" si="37"/>
        <v>0.70507001688957016</v>
      </c>
      <c r="G121" s="19">
        <f t="shared" si="37"/>
        <v>1.2153455644401476</v>
      </c>
      <c r="H121" s="19">
        <f t="shared" si="37"/>
        <v>1.1149913427786318</v>
      </c>
      <c r="I121" s="19">
        <f t="shared" si="37"/>
        <v>1.6848838055313446</v>
      </c>
      <c r="J121" s="19">
        <f t="shared" si="37"/>
        <v>1.9646514362307879</v>
      </c>
      <c r="K121" s="19">
        <f t="shared" si="37"/>
        <v>1.8178287633517483</v>
      </c>
    </row>
    <row r="122" spans="1:11" ht="15" customHeight="1" x14ac:dyDescent="0.2">
      <c r="A122" s="5" t="s">
        <v>825</v>
      </c>
      <c r="B122" s="19">
        <f>IS!B66</f>
        <v>0.6</v>
      </c>
      <c r="C122" s="19">
        <f>IS!C66</f>
        <v>0.62</v>
      </c>
      <c r="D122" s="19">
        <f>IS!D66</f>
        <v>0.64</v>
      </c>
      <c r="E122" s="19">
        <f>IS!E66</f>
        <v>0.66</v>
      </c>
      <c r="F122" s="19">
        <f>IS!F66</f>
        <v>0.68</v>
      </c>
      <c r="G122" s="19">
        <f>IS!G66</f>
        <v>0.69</v>
      </c>
      <c r="H122" s="19">
        <f>IS!H66</f>
        <v>0.7</v>
      </c>
      <c r="I122" s="19">
        <f>IS!I66</f>
        <v>0.7</v>
      </c>
      <c r="J122" s="19">
        <f>IS!J66</f>
        <v>0.72</v>
      </c>
      <c r="K122" s="19">
        <f>IS!K66</f>
        <v>0.72</v>
      </c>
    </row>
    <row r="123" spans="1:11" ht="15" customHeight="1" x14ac:dyDescent="0.2">
      <c r="A123" s="7"/>
      <c r="K123" s="47"/>
    </row>
    <row r="124" spans="1:11" ht="15" customHeight="1" x14ac:dyDescent="0.2">
      <c r="A124" s="7" t="s">
        <v>827</v>
      </c>
    </row>
    <row r="125" spans="1:11" ht="15" customHeight="1" x14ac:dyDescent="0.2">
      <c r="A125" s="5" t="s">
        <v>828</v>
      </c>
      <c r="B125" s="52">
        <f>-BS!B59</f>
        <v>-10.461274673803947</v>
      </c>
      <c r="C125" s="52">
        <f>IS!C66</f>
        <v>0.62</v>
      </c>
      <c r="D125" s="52">
        <f>IS!D66</f>
        <v>0.64</v>
      </c>
      <c r="E125" s="52">
        <f>IS!E66</f>
        <v>0.66</v>
      </c>
      <c r="F125" s="52">
        <f>IS!F66</f>
        <v>0.68</v>
      </c>
      <c r="G125" s="52">
        <f>IS!G66</f>
        <v>0.69</v>
      </c>
      <c r="H125" s="52">
        <f>IS!H66</f>
        <v>0.7</v>
      </c>
      <c r="I125" s="52">
        <f>IS!I66</f>
        <v>0.7</v>
      </c>
      <c r="J125" s="52">
        <f>IS!J66</f>
        <v>0.72</v>
      </c>
      <c r="K125" s="52">
        <f>IS!K66+BS!K59</f>
        <v>25.943921026198357</v>
      </c>
    </row>
    <row r="126" spans="1:11" ht="15" customHeight="1" x14ac:dyDescent="0.2">
      <c r="A126" s="7" t="s">
        <v>822</v>
      </c>
      <c r="B126" s="57">
        <f>IRR(B125:K125)</f>
        <v>0.14858725033813025</v>
      </c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1" ht="15" customHeight="1" x14ac:dyDescent="0.2">
      <c r="A127" s="7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 ht="15" customHeight="1" x14ac:dyDescent="0.2">
      <c r="A128" s="7" t="s">
        <v>829</v>
      </c>
      <c r="B128" s="21">
        <f>IF(OR(B97="",B126=""),"",(B97-B126)*10000)</f>
        <v>379.00611329277024</v>
      </c>
      <c r="C128" s="43"/>
      <c r="D128" s="43"/>
      <c r="E128" s="43"/>
      <c r="F128" s="43"/>
      <c r="G128" s="43"/>
      <c r="H128" s="43"/>
      <c r="I128" s="43"/>
      <c r="J128" s="43"/>
      <c r="K128" s="43"/>
    </row>
    <row r="129" spans="1:11" ht="15" customHeight="1" x14ac:dyDescent="0.2">
      <c r="A129" s="7"/>
      <c r="B129" s="44"/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1" ht="15" customHeight="1" x14ac:dyDescent="0.2">
      <c r="A130" s="18" t="s">
        <v>830</v>
      </c>
      <c r="B130" s="44"/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1" ht="15" customHeight="1" x14ac:dyDescent="0.2">
      <c r="A131" s="5"/>
      <c r="B131" s="44"/>
      <c r="C131" s="20"/>
      <c r="D131" s="20"/>
      <c r="E131" s="20"/>
      <c r="F131" s="20"/>
      <c r="G131" s="20"/>
      <c r="H131" s="20"/>
      <c r="I131" s="20"/>
      <c r="J131" s="20"/>
      <c r="K131" s="20"/>
    </row>
    <row r="132" spans="1:11" ht="15" customHeight="1" x14ac:dyDescent="0.2">
      <c r="A132" s="7" t="s">
        <v>831</v>
      </c>
      <c r="B132" s="44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ht="15" customHeight="1" x14ac:dyDescent="0.2">
      <c r="A133" s="5" t="s">
        <v>824</v>
      </c>
      <c r="B133" s="46"/>
      <c r="C133" s="20">
        <f>IF(OR(B74=0,C74=0),"",POWER(C74/B74,1/1)-1)</f>
        <v>7.335692157703666E-2</v>
      </c>
      <c r="D133" s="20">
        <f>IF(OR(B74=0,D74=0),"",POWER(D74/B74,1/2)-1)</f>
        <v>5.8680398183269977E-2</v>
      </c>
      <c r="E133" s="20">
        <f>IF(OR(B74=0,E74=0),"",POWER(E74/B74,1/3)-1)</f>
        <v>5.4533991213413291E-2</v>
      </c>
      <c r="F133" s="20">
        <f>IF(OR(B74=0,F74=0),"",POWER(F74/B74,1/4)-1)</f>
        <v>5.3029533775490023E-2</v>
      </c>
      <c r="G133" s="20">
        <f>IF(OR(B74=0,G74=0),"",POWER(G74/B74,1/5)-1)</f>
        <v>5.8243643023602409E-2</v>
      </c>
      <c r="H133" s="20">
        <f>IF(OR(B74=0,H74=0),"",POWER(H74/B74,1/6)-1)</f>
        <v>5.2126082487761627E-2</v>
      </c>
      <c r="I133" s="20">
        <f>IF(OR(B74=0,I74=0),"",POWER(I74/B74,1/7)-1)</f>
        <v>4.7556866662936459E-2</v>
      </c>
      <c r="J133" s="20">
        <f>IF(OR(B74=0,J74=0),"",POWER(J74/B74,1/8)-1)</f>
        <v>4.6332895497631643E-2</v>
      </c>
      <c r="K133" s="20">
        <f>IF(OR(B74=0,K74=0),"",POWER(K74/B74,1/9)-1)</f>
        <v>4.5228215500804358E-2</v>
      </c>
    </row>
    <row r="134" spans="1:11" ht="15" customHeight="1" x14ac:dyDescent="0.2">
      <c r="A134" s="5" t="s">
        <v>825</v>
      </c>
      <c r="B134" s="44"/>
      <c r="C134" s="20">
        <f>IF(OR(IS!B52=0,IS!C52=0),"",POWER(IS!C52/IS!B52,1/1)-1)</f>
        <v>3.4385089648233835E-2</v>
      </c>
      <c r="D134" s="20">
        <f>IF(OR(IS!B52=0,IS!D52=0),"",POWER(IS!D52/IS!B52,1/2)-1)</f>
        <v>4.5285394964011516E-2</v>
      </c>
      <c r="E134" s="20">
        <f>IF(OR(IS!B52=0,IS!E52=0),"",POWER(IS!E52/IS!B52,1/3)-1)</f>
        <v>4.4580179290593325E-2</v>
      </c>
      <c r="F134" s="20">
        <f>IF(OR(IS!B52=0,IS!F52=0),"",POWER(IS!F52/IS!B52,1/4)-1)</f>
        <v>3.9227438660986547E-2</v>
      </c>
      <c r="G134" s="20">
        <f>IF(OR(IS!B52=0,IS!G52=0),"",POWER(IS!G52/IS!B52,1/5)-1)</f>
        <v>4.460194693139452E-2</v>
      </c>
      <c r="H134" s="20">
        <f>IF(OR(IS!B52=0,IS!H52=0),"",POWER(IS!H52/IS!B52,1/6)-1)</f>
        <v>4.3439483041537663E-2</v>
      </c>
      <c r="I134" s="20">
        <f>IF(OR(IS!B52=0,IS!I52=0),"",POWER(IS!I52/IS!B52,1/7)-1)</f>
        <v>4.2437294475346166E-2</v>
      </c>
      <c r="J134" s="20">
        <f>IF(OR(IS!B52=0,IS!J52=0),"",POWER(IS!J52/IS!B52,1/8)-1)</f>
        <v>4.0185665441493601E-2</v>
      </c>
      <c r="K134" s="20">
        <f>IF(OR(IS!B52=0,IS!K52=0),"",POWER(IS!K52/IS!B52,1/9)-1)</f>
        <v>4.0409192141747541E-2</v>
      </c>
    </row>
    <row r="135" spans="1:11" ht="15" customHeight="1" x14ac:dyDescent="0.2">
      <c r="A135" s="7" t="s">
        <v>832</v>
      </c>
      <c r="B135" s="44"/>
      <c r="C135" s="21">
        <f t="shared" ref="C135:K135" si="38">IF(OR(C133="",C134=""),"",(C133-C134)*10000)</f>
        <v>389.71831928802823</v>
      </c>
      <c r="D135" s="21">
        <f t="shared" si="38"/>
        <v>133.95003219258462</v>
      </c>
      <c r="E135" s="21">
        <f t="shared" si="38"/>
        <v>99.538119228199662</v>
      </c>
      <c r="F135" s="21">
        <f t="shared" si="38"/>
        <v>138.02095114503476</v>
      </c>
      <c r="G135" s="21">
        <f t="shared" si="38"/>
        <v>136.41696092207889</v>
      </c>
      <c r="H135" s="21">
        <f t="shared" si="38"/>
        <v>86.865994462239641</v>
      </c>
      <c r="I135" s="21">
        <f t="shared" si="38"/>
        <v>51.195721875902933</v>
      </c>
      <c r="J135" s="21">
        <f t="shared" si="38"/>
        <v>61.472300561380422</v>
      </c>
      <c r="K135" s="21">
        <f t="shared" si="38"/>
        <v>48.190233590568177</v>
      </c>
    </row>
    <row r="136" spans="1:11" ht="15" customHeight="1" x14ac:dyDescent="0.2">
      <c r="A136" s="5"/>
      <c r="B136" s="44"/>
      <c r="C136" s="20"/>
      <c r="D136" s="20"/>
      <c r="E136" s="20"/>
      <c r="F136" s="20"/>
      <c r="G136" s="20"/>
      <c r="H136" s="20"/>
      <c r="I136" s="20"/>
      <c r="J136" s="20"/>
      <c r="K136" s="20"/>
    </row>
    <row r="137" spans="1:11" ht="15" customHeight="1" x14ac:dyDescent="0.2">
      <c r="A137" s="7" t="s">
        <v>833</v>
      </c>
      <c r="B137" s="43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ht="15" customHeight="1" x14ac:dyDescent="0.2">
      <c r="A138" s="5" t="s">
        <v>824</v>
      </c>
      <c r="B138" s="62"/>
      <c r="C138" s="20">
        <f>IF(OR(B75=0,C75=0),"",POWER(C75/B75,1/1)-1)</f>
        <v>-2.3005381578375395E-2</v>
      </c>
      <c r="D138" s="20">
        <f>IF(OR(B75=0,D75=0),"",POWER(D75/B75,1/2)-1)</f>
        <v>1.6223313554783347E-2</v>
      </c>
      <c r="E138" s="20">
        <f>IF(OR(B75=0,E75=0),"",POWER(E75/B75,1/3)-1)</f>
        <v>3.1688746106271815E-2</v>
      </c>
      <c r="F138" s="20">
        <f>IF(OR(B75=0,F75=0),"",POWER(F75/B75,1/4)-1)</f>
        <v>4.0561175385158244E-2</v>
      </c>
      <c r="G138" s="20">
        <f>IF(OR(B75=0,G75=0),"",POWER(G75/B75,1/5)-1)</f>
        <v>5.0920141522935447E-2</v>
      </c>
      <c r="H138" s="20">
        <f>IF(OR(B75=0,H75=0),"",POWER(H75/B75,1/6)-1)</f>
        <v>4.5222661247112717E-2</v>
      </c>
      <c r="I138" s="20">
        <f>IF(OR(B75=0,I75=0),"",POWER(I75/B75,1/7)-1)</f>
        <v>4.1063304694717306E-2</v>
      </c>
      <c r="J138" s="20">
        <f>IF(OR(B75=0,J75=0),"",POWER(J75/B75,1/8)-1)</f>
        <v>4.0606850122649751E-2</v>
      </c>
      <c r="K138" s="20">
        <f>IF(OR(B75=0,K75=0),"",POWER(K75/B75,1/9)-1)</f>
        <v>4.1307718846336883E-2</v>
      </c>
    </row>
    <row r="139" spans="1:11" ht="15" customHeight="1" x14ac:dyDescent="0.2">
      <c r="A139" s="5" t="s">
        <v>825</v>
      </c>
      <c r="B139" s="43"/>
      <c r="C139" s="20">
        <f>IF(OR(IS!B94=0,IS!C94=0),"",POWER(IS!C94/IS!B94,1/1)-1)</f>
        <v>-6.7730387034856898E-2</v>
      </c>
      <c r="D139" s="20">
        <f>IF(OR(IS!B94=0,IS!D94=0),"",POWER(IS!D94/IS!B94,1/2)-1)</f>
        <v>-2.1345371913623623E-3</v>
      </c>
      <c r="E139" s="20">
        <f>IF(OR(IS!B94=0,IS!E94=0),"",POWER(IS!E94/IS!B94,1/3)-1)</f>
        <v>1.5885466348605437E-2</v>
      </c>
      <c r="F139" s="20">
        <f>IF(OR(IS!B94=0,IS!F94=0),"",POWER(IS!F94/IS!B94,1/4)-1)</f>
        <v>2.135509127864843E-2</v>
      </c>
      <c r="G139" s="20">
        <f>IF(OR(IS!B94=0,IS!G94=0),"",POWER(IS!G94/IS!B94,1/5)-1)</f>
        <v>3.3412576161065521E-2</v>
      </c>
      <c r="H139" s="20">
        <f>IF(OR(IS!B94=0,IS!H94=0),"",POWER(IS!H94/IS!B94,1/6)-1)</f>
        <v>3.3898460114385243E-2</v>
      </c>
      <c r="I139" s="20">
        <f>IF(OR(IS!B94=0,IS!I94=0),"",POWER(IS!I94/IS!B94,1/7)-1)</f>
        <v>3.4545705577820884E-2</v>
      </c>
      <c r="J139" s="20">
        <f>IF(OR(IS!B94=0,IS!J94=0),"",POWER(IS!J94/IS!B94,1/8)-1)</f>
        <v>3.2846814766383181E-2</v>
      </c>
      <c r="K139" s="20">
        <f>IF(OR(IS!B94=0,IS!K94=0),"",POWER(IS!K94/IS!B94,1/9)-1)</f>
        <v>3.5261802919927643E-2</v>
      </c>
    </row>
    <row r="140" spans="1:11" ht="15" customHeight="1" x14ac:dyDescent="0.2">
      <c r="A140" s="7" t="s">
        <v>832</v>
      </c>
      <c r="B140" s="25"/>
      <c r="C140" s="21">
        <f t="shared" ref="C140:K140" si="39">IF(OR(C138="",C139=""),"",(C138-C139)*10000)</f>
        <v>447.25005456481506</v>
      </c>
      <c r="D140" s="21">
        <f t="shared" si="39"/>
        <v>183.57850746145709</v>
      </c>
      <c r="E140" s="21">
        <f t="shared" si="39"/>
        <v>158.03279757666377</v>
      </c>
      <c r="F140" s="21">
        <f t="shared" si="39"/>
        <v>192.06084106509815</v>
      </c>
      <c r="G140" s="21">
        <f t="shared" si="39"/>
        <v>175.07565361869925</v>
      </c>
      <c r="H140" s="21">
        <f t="shared" si="39"/>
        <v>113.24201132727474</v>
      </c>
      <c r="I140" s="21">
        <f t="shared" si="39"/>
        <v>65.175991168964217</v>
      </c>
      <c r="J140" s="21">
        <f t="shared" si="39"/>
        <v>77.600353562665703</v>
      </c>
      <c r="K140" s="21">
        <f t="shared" si="39"/>
        <v>60.459159264092399</v>
      </c>
    </row>
    <row r="141" spans="1:11" ht="15" customHeight="1" x14ac:dyDescent="0.2">
      <c r="A141" s="5"/>
      <c r="B141" s="25"/>
      <c r="C141" s="25"/>
      <c r="D141" s="25"/>
      <c r="E141" s="25"/>
      <c r="F141" s="25"/>
      <c r="G141" s="25"/>
      <c r="H141" s="25"/>
      <c r="I141" s="25"/>
      <c r="J141" s="25"/>
      <c r="K141" s="25"/>
    </row>
    <row r="142" spans="1:11" ht="15" customHeight="1" x14ac:dyDescent="0.2">
      <c r="A142" s="7" t="s">
        <v>834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</row>
    <row r="143" spans="1:11" ht="15" customHeight="1" x14ac:dyDescent="0.2">
      <c r="A143" s="5" t="s">
        <v>824</v>
      </c>
      <c r="C143" s="20">
        <f>IF(OR(B77=0,C77=0),"",POWER(C77/B77,1/1)-1)</f>
        <v>0.10701198027057424</v>
      </c>
      <c r="D143" s="20">
        <f>IF(OR(B77=0,D77=0),"",POWER(D77/B77,1/2)-1)</f>
        <v>0.21956920963791116</v>
      </c>
      <c r="E143" s="20">
        <f>IF(OR(B77=0,E77=0),"",POWER(E77/B77,1/3)-1)</f>
        <v>0.20526146283643087</v>
      </c>
      <c r="F143" s="20">
        <f>IF(OR(B77=0,F77=0),"",POWER(F77/B77,1/4)-1)</f>
        <v>0.14768283179334496</v>
      </c>
      <c r="G143" s="20">
        <f>IF(OR(B77=0,G77=0),"",POWER(G77/B77,1/5)-1)</f>
        <v>0.15547589079239654</v>
      </c>
      <c r="H143" s="20">
        <f>IF(OR(B77=0,H77=0),"",POWER(H77/B77,1/6)-1)</f>
        <v>0.14693972790160181</v>
      </c>
      <c r="I143" s="20">
        <f>IF(OR(B77=0,I77=0),"",POWER(I77/B77,1/7)-1)</f>
        <v>0.12079206131132159</v>
      </c>
      <c r="J143" s="20">
        <f>IF(OR(B77=0,J77=0),"",POWER(J77/B77,1/8)-1)</f>
        <v>0.11314678786126242</v>
      </c>
      <c r="K143" s="20">
        <f>IF(OR(B77=0,K77=0),"",POWER(K77/B77,1/9)-1)</f>
        <v>0.10492219112665602</v>
      </c>
    </row>
    <row r="144" spans="1:11" ht="15" customHeight="1" x14ac:dyDescent="0.2">
      <c r="A144" s="5" t="s">
        <v>825</v>
      </c>
      <c r="C144" s="20">
        <f>IF(OR(BS!B59=0,BS!C59=0),"",POWER(BS!C59/BS!B59,1/1)-1)</f>
        <v>9.5669336636517111E-2</v>
      </c>
      <c r="D144" s="20">
        <f>IF(OR(BS!B59=0,BS!D59=0),"",POWER(BS!D59/BS!B59,1/2)-1)</f>
        <v>0.11287359267795627</v>
      </c>
      <c r="E144" s="20">
        <f>IF(OR(BS!B59=0,BS!E59=0),"",POWER(BS!E59/BS!B59,1/3)-1)</f>
        <v>0.16069219011683034</v>
      </c>
      <c r="F144" s="20">
        <f>IF(OR(BS!B59=0,BS!F59=0),"",POWER(BS!F59/BS!B59,1/4)-1)</f>
        <v>0.12025847926577082</v>
      </c>
      <c r="G144" s="20">
        <f>IF(OR(BS!B59=0,BS!G59=0),"",POWER(BS!G59/BS!B59,1/5)-1)</f>
        <v>0.12791644882857289</v>
      </c>
      <c r="H144" s="20">
        <f>IF(OR(BS!B59=0,BS!H59=0),"",POWER(BS!H59/BS!B59,1/6)-1)</f>
        <v>0.10900480142649283</v>
      </c>
      <c r="I144" s="20">
        <f>IF(OR(BS!B59=0,BS!I59=0),"",POWER(BS!I59/BS!B59,1/7)-1)</f>
        <v>0.10456710708984418</v>
      </c>
      <c r="J144" s="20">
        <f>IF(OR(BS!B59=0,BS!J59=0),"",POWER(BS!J59/BS!B59,1/8)-1)</f>
        <v>0.11961823313915976</v>
      </c>
      <c r="K144" s="20">
        <f>IF(OR(BS!B59=0,BS!K59=0),"",POWER(BS!K59/BS!B59,1/9)-1)</f>
        <v>0.10273149090826106</v>
      </c>
    </row>
    <row r="145" spans="1:11" ht="15" customHeight="1" x14ac:dyDescent="0.2">
      <c r="A145" s="7" t="s">
        <v>832</v>
      </c>
      <c r="B145" s="22"/>
      <c r="C145" s="21">
        <f t="shared" ref="C145:K145" si="40">IF(OR(C143="",C144=""),"",(C143-C144)*10000)</f>
        <v>113.42643634057126</v>
      </c>
      <c r="D145" s="21">
        <f t="shared" si="40"/>
        <v>1066.956169599549</v>
      </c>
      <c r="E145" s="21">
        <f t="shared" si="40"/>
        <v>445.69272719600536</v>
      </c>
      <c r="F145" s="21">
        <f t="shared" si="40"/>
        <v>274.24352527574138</v>
      </c>
      <c r="G145" s="21">
        <f t="shared" si="40"/>
        <v>275.5944196382365</v>
      </c>
      <c r="H145" s="21">
        <f t="shared" si="40"/>
        <v>379.34926475108989</v>
      </c>
      <c r="I145" s="21">
        <f t="shared" si="40"/>
        <v>162.24954221477407</v>
      </c>
      <c r="J145" s="21">
        <f t="shared" si="40"/>
        <v>-64.714452778973367</v>
      </c>
      <c r="K145" s="21">
        <f t="shared" si="40"/>
        <v>21.907002183949587</v>
      </c>
    </row>
    <row r="146" spans="1:11" ht="15" customHeight="1" x14ac:dyDescent="0.2">
      <c r="A146" s="5"/>
      <c r="B146" s="22"/>
      <c r="C146" s="22"/>
      <c r="D146" s="22"/>
      <c r="E146" s="22"/>
      <c r="F146" s="22"/>
      <c r="G146" s="19"/>
      <c r="H146" s="19"/>
      <c r="I146" s="14"/>
      <c r="J146" s="22"/>
      <c r="K146" s="22"/>
    </row>
    <row r="147" spans="1:11" ht="15" customHeight="1" x14ac:dyDescent="0.2">
      <c r="A147" s="18" t="s">
        <v>835</v>
      </c>
      <c r="B147" s="22"/>
      <c r="C147" s="22"/>
      <c r="D147" s="22"/>
      <c r="E147" s="22"/>
      <c r="F147" s="22"/>
      <c r="G147" s="19"/>
      <c r="H147" s="19"/>
      <c r="I147" s="14"/>
      <c r="J147" s="22"/>
      <c r="K147" s="22"/>
    </row>
    <row r="148" spans="1:11" ht="15" customHeight="1" x14ac:dyDescent="0.2">
      <c r="A148" s="5"/>
      <c r="B148" s="13"/>
      <c r="C148" s="13"/>
      <c r="D148" s="13"/>
      <c r="E148" s="13"/>
      <c r="F148" s="13"/>
      <c r="G148" s="19"/>
      <c r="H148" s="19"/>
      <c r="I148" s="14"/>
      <c r="J148" s="13"/>
      <c r="K148" s="13"/>
    </row>
    <row r="149" spans="1:11" ht="15" customHeight="1" x14ac:dyDescent="0.2">
      <c r="A149" s="5" t="s">
        <v>836</v>
      </c>
      <c r="B149" s="22">
        <f>B97</f>
        <v>0.18648786166740727</v>
      </c>
      <c r="C149" s="22"/>
      <c r="D149" s="22"/>
      <c r="E149" s="22"/>
      <c r="F149" s="22"/>
      <c r="G149" s="19"/>
      <c r="H149" s="57">
        <f>B97</f>
        <v>0.18648786166740727</v>
      </c>
      <c r="I149" s="14"/>
      <c r="J149" s="22"/>
      <c r="K149" s="22"/>
    </row>
    <row r="150" spans="1:11" ht="15" customHeight="1" x14ac:dyDescent="0.2">
      <c r="A150" s="5" t="s">
        <v>837</v>
      </c>
      <c r="B150" s="13">
        <f>B126</f>
        <v>0.14858725033813025</v>
      </c>
      <c r="C150" s="13"/>
      <c r="D150" s="13"/>
      <c r="E150" s="13"/>
      <c r="F150" s="13"/>
      <c r="G150" s="25"/>
      <c r="H150" s="57">
        <f>B126</f>
        <v>0.14858725033813025</v>
      </c>
      <c r="I150" s="68"/>
      <c r="J150" s="13"/>
      <c r="K150" s="13"/>
    </row>
    <row r="151" spans="1:11" ht="15" customHeight="1" x14ac:dyDescent="0.2">
      <c r="A151" s="7" t="s">
        <v>838</v>
      </c>
      <c r="B151" s="22">
        <f>B128</f>
        <v>379.00611329277024</v>
      </c>
      <c r="C151" s="22"/>
      <c r="D151" s="22"/>
      <c r="E151" s="22"/>
      <c r="F151" s="22"/>
      <c r="G151" s="22"/>
      <c r="H151" s="21">
        <f>B128</f>
        <v>379.00611329277024</v>
      </c>
      <c r="I151" s="22"/>
      <c r="J151" s="22"/>
      <c r="K151" s="22"/>
    </row>
    <row r="152" spans="1:11" ht="15" customHeight="1" x14ac:dyDescent="0.2">
      <c r="A152" s="7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ht="15" customHeight="1" x14ac:dyDescent="0.2">
      <c r="A153" s="5" t="s">
        <v>839</v>
      </c>
      <c r="B153" s="22">
        <f>K133</f>
        <v>4.5228215500804358E-2</v>
      </c>
      <c r="C153" s="22"/>
      <c r="D153" s="22"/>
      <c r="E153" s="22"/>
      <c r="F153" s="22"/>
      <c r="G153" s="22"/>
      <c r="H153" s="57">
        <f>K133</f>
        <v>4.5228215500804358E-2</v>
      </c>
      <c r="I153" s="22"/>
      <c r="J153" s="22"/>
      <c r="K153" s="22"/>
    </row>
    <row r="154" spans="1:11" ht="15" customHeight="1" x14ac:dyDescent="0.2">
      <c r="A154" s="5" t="s">
        <v>840</v>
      </c>
      <c r="B154" s="13">
        <f>K134</f>
        <v>4.0409192141747541E-2</v>
      </c>
      <c r="C154" s="13"/>
      <c r="D154" s="13"/>
      <c r="E154" s="13"/>
      <c r="F154" s="13"/>
      <c r="G154" s="13"/>
      <c r="H154" s="57">
        <f>K134</f>
        <v>4.0409192141747541E-2</v>
      </c>
      <c r="I154" s="13"/>
      <c r="J154" s="13"/>
      <c r="K154" s="13"/>
    </row>
    <row r="155" spans="1:11" ht="15" customHeight="1" x14ac:dyDescent="0.2">
      <c r="A155" s="18"/>
    </row>
    <row r="156" spans="1:11" ht="15" customHeight="1" x14ac:dyDescent="0.2">
      <c r="A156" s="5" t="s">
        <v>841</v>
      </c>
      <c r="B156" s="22">
        <f>K80</f>
        <v>10.695439686700974</v>
      </c>
      <c r="C156" s="22"/>
      <c r="D156" s="22"/>
      <c r="E156" s="22"/>
      <c r="F156" s="22"/>
      <c r="G156" s="22"/>
      <c r="H156" s="69">
        <f>K80</f>
        <v>10.695439686700974</v>
      </c>
      <c r="I156" s="22"/>
      <c r="J156" s="22"/>
      <c r="K156" s="22"/>
    </row>
    <row r="157" spans="1:11" ht="15" customHeight="1" x14ac:dyDescent="0.2">
      <c r="A157" s="5" t="s">
        <v>842</v>
      </c>
      <c r="B157" s="22">
        <f>BS!K41</f>
        <v>9.6756504590852224</v>
      </c>
      <c r="C157" s="67"/>
      <c r="D157" s="67"/>
      <c r="E157" s="67"/>
      <c r="F157" s="67"/>
      <c r="G157" s="67"/>
      <c r="H157" s="69">
        <f>BS!K41</f>
        <v>9.6756504590852224</v>
      </c>
      <c r="I157" s="67"/>
      <c r="J157" s="67"/>
      <c r="K157" s="67"/>
    </row>
    <row r="158" spans="1:11" ht="15" customHeight="1" x14ac:dyDescent="0.2">
      <c r="A158" s="5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ht="15" customHeight="1" x14ac:dyDescent="0.2">
      <c r="A159" s="7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ht="15" customHeight="1" x14ac:dyDescent="0.2">
      <c r="A160" s="18" t="s">
        <v>843</v>
      </c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ht="15" customHeight="1" x14ac:dyDescent="0.2">
      <c r="A161" s="5" t="s">
        <v>844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ht="15" customHeight="1" x14ac:dyDescent="0.2">
      <c r="A162" s="7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ht="15" customHeight="1" x14ac:dyDescent="0.2">
      <c r="A163" s="5" t="s">
        <v>845</v>
      </c>
      <c r="B163" s="11">
        <f>B14</f>
        <v>1016023</v>
      </c>
      <c r="C163" s="22">
        <f t="shared" ref="C163:K163" si="41">B168</f>
        <v>987374.29229999997</v>
      </c>
      <c r="D163" s="22">
        <f t="shared" si="41"/>
        <v>949430.0743768746</v>
      </c>
      <c r="E163" s="22">
        <f t="shared" si="41"/>
        <v>917128.18118518149</v>
      </c>
      <c r="F163" s="22">
        <f t="shared" si="41"/>
        <v>886752.46521176212</v>
      </c>
      <c r="G163" s="22">
        <f t="shared" si="41"/>
        <v>854785.17072078097</v>
      </c>
      <c r="H163" s="22">
        <f t="shared" si="41"/>
        <v>817904.36066664313</v>
      </c>
      <c r="I163" s="22">
        <f t="shared" si="41"/>
        <v>783266.97967130295</v>
      </c>
      <c r="J163" s="22">
        <f t="shared" si="41"/>
        <v>744697.58672447491</v>
      </c>
      <c r="K163" s="22">
        <f t="shared" si="41"/>
        <v>694229.85020016902</v>
      </c>
    </row>
    <row r="164" spans="1:11" ht="15" customHeight="1" x14ac:dyDescent="0.2">
      <c r="A164" s="5" t="s">
        <v>846</v>
      </c>
      <c r="B164" s="22">
        <f t="shared" ref="B164:K164" si="42">-B163*B25</f>
        <v>-30582.292299999997</v>
      </c>
      <c r="C164" s="22">
        <f t="shared" si="42"/>
        <v>-28535.117047469997</v>
      </c>
      <c r="D164" s="22">
        <f t="shared" si="42"/>
        <v>-28008.1871941178</v>
      </c>
      <c r="E164" s="22">
        <f t="shared" si="42"/>
        <v>-26596.717254370265</v>
      </c>
      <c r="F164" s="22">
        <f t="shared" si="42"/>
        <v>-23853.6413141964</v>
      </c>
      <c r="G164" s="22">
        <f t="shared" si="42"/>
        <v>-22053.457404596149</v>
      </c>
      <c r="H164" s="22">
        <f t="shared" si="42"/>
        <v>-22410.579482266021</v>
      </c>
      <c r="I164" s="22">
        <f t="shared" si="42"/>
        <v>-25064.543349481693</v>
      </c>
      <c r="J164" s="22">
        <f t="shared" si="42"/>
        <v>-26064.415535356624</v>
      </c>
      <c r="K164" s="22">
        <f t="shared" si="42"/>
        <v>-24853.428637166049</v>
      </c>
    </row>
    <row r="165" spans="1:11" ht="15" customHeight="1" x14ac:dyDescent="0.2">
      <c r="A165" s="5" t="s">
        <v>847</v>
      </c>
      <c r="B165" s="22">
        <f t="shared" ref="B165:K165" si="43">B35+B164</f>
        <v>62108.707699999999</v>
      </c>
      <c r="C165" s="22">
        <f t="shared" si="43"/>
        <v>67492.758952530014</v>
      </c>
      <c r="D165" s="22">
        <f t="shared" si="43"/>
        <v>72629.026853882213</v>
      </c>
      <c r="E165" s="22">
        <f t="shared" si="43"/>
        <v>78166.622569597734</v>
      </c>
      <c r="F165" s="22">
        <f t="shared" si="43"/>
        <v>83319.255325722857</v>
      </c>
      <c r="G165" s="22">
        <f t="shared" si="43"/>
        <v>90585.256963958978</v>
      </c>
      <c r="H165" s="22">
        <f t="shared" si="43"/>
        <v>95522.154461611179</v>
      </c>
      <c r="I165" s="22">
        <f t="shared" si="43"/>
        <v>102066.94384201794</v>
      </c>
      <c r="J165" s="22">
        <f t="shared" si="43"/>
        <v>111618.98509303748</v>
      </c>
      <c r="K165" s="22">
        <f t="shared" si="43"/>
        <v>121228.6594295601</v>
      </c>
    </row>
    <row r="166" spans="1:11" ht="15" customHeight="1" x14ac:dyDescent="0.2">
      <c r="A166" s="5" t="s">
        <v>848</v>
      </c>
      <c r="B166" s="22">
        <f t="shared" ref="B166:K166" si="44">B35+B164+B43</f>
        <v>28648.707699999999</v>
      </c>
      <c r="C166" s="22">
        <f t="shared" si="44"/>
        <v>37944.21792312539</v>
      </c>
      <c r="D166" s="22">
        <f t="shared" si="44"/>
        <v>32301.893191693103</v>
      </c>
      <c r="E166" s="22">
        <f t="shared" si="44"/>
        <v>20739.484302395889</v>
      </c>
      <c r="F166" s="22">
        <f t="shared" si="44"/>
        <v>31758.311149005654</v>
      </c>
      <c r="G166" s="22">
        <f t="shared" si="44"/>
        <v>36880.810054137859</v>
      </c>
      <c r="H166" s="22">
        <f t="shared" si="44"/>
        <v>34637.380995340223</v>
      </c>
      <c r="I166" s="22">
        <f t="shared" si="44"/>
        <v>38569.392946828135</v>
      </c>
      <c r="J166" s="22">
        <f t="shared" si="44"/>
        <v>50467.73652430591</v>
      </c>
      <c r="K166" s="22">
        <f t="shared" si="44"/>
        <v>69323.747547156934</v>
      </c>
    </row>
    <row r="167" spans="1:11" ht="15" customHeight="1" x14ac:dyDescent="0.2">
      <c r="A167" s="5" t="s">
        <v>278</v>
      </c>
      <c r="B167" s="22">
        <f t="shared" ref="B167:K167" si="45">IF(OR(B163&lt;=0,B48&lt;=0),0,PMT(B25,B48,-B163)-B163*B25)</f>
        <v>27830.778957979939</v>
      </c>
      <c r="C167" s="22">
        <f t="shared" si="45"/>
        <v>29078.111794073688</v>
      </c>
      <c r="D167" s="22">
        <f t="shared" si="45"/>
        <v>29430.610178405073</v>
      </c>
      <c r="E167" s="22">
        <f t="shared" si="45"/>
        <v>30375.715973419417</v>
      </c>
      <c r="F167" s="22">
        <f t="shared" si="45"/>
        <v>31967.29449098109</v>
      </c>
      <c r="G167" s="22">
        <f t="shared" si="45"/>
        <v>33193.772431825273</v>
      </c>
      <c r="H167" s="22">
        <f t="shared" si="45"/>
        <v>33384.377137125688</v>
      </c>
      <c r="I167" s="22">
        <f t="shared" si="45"/>
        <v>32853.095698274483</v>
      </c>
      <c r="J167" s="22">
        <f t="shared" si="45"/>
        <v>32798.813925080016</v>
      </c>
      <c r="K167" s="22">
        <f t="shared" si="45"/>
        <v>32894.256210157888</v>
      </c>
    </row>
    <row r="168" spans="1:11" ht="15" customHeight="1" x14ac:dyDescent="0.2">
      <c r="A168" s="7" t="s">
        <v>849</v>
      </c>
      <c r="B168" s="13">
        <f t="shared" ref="B168:K168" si="46">MAX(0,B163-B167-MAX(0,B166-B167))</f>
        <v>987374.29229999997</v>
      </c>
      <c r="C168" s="13">
        <f t="shared" si="46"/>
        <v>949430.0743768746</v>
      </c>
      <c r="D168" s="13">
        <f t="shared" si="46"/>
        <v>917128.18118518149</v>
      </c>
      <c r="E168" s="13">
        <f t="shared" si="46"/>
        <v>886752.46521176212</v>
      </c>
      <c r="F168" s="13">
        <f t="shared" si="46"/>
        <v>854785.17072078097</v>
      </c>
      <c r="G168" s="13">
        <f t="shared" si="46"/>
        <v>817904.36066664313</v>
      </c>
      <c r="H168" s="13">
        <f t="shared" si="46"/>
        <v>783266.97967130295</v>
      </c>
      <c r="I168" s="13">
        <f t="shared" si="46"/>
        <v>744697.58672447491</v>
      </c>
      <c r="J168" s="13">
        <f t="shared" si="46"/>
        <v>694229.85020016902</v>
      </c>
      <c r="K168" s="13">
        <f t="shared" si="46"/>
        <v>624906.10265301215</v>
      </c>
    </row>
    <row r="169" spans="1:11" ht="15" customHeight="1" x14ac:dyDescent="0.2">
      <c r="A169" s="5"/>
      <c r="B169" s="52"/>
      <c r="C169" s="52"/>
      <c r="D169" s="52"/>
      <c r="E169" s="52"/>
      <c r="F169" s="52"/>
      <c r="G169" s="52"/>
      <c r="H169" s="52"/>
      <c r="I169" s="52"/>
      <c r="J169" s="52"/>
      <c r="K169" s="52"/>
    </row>
    <row r="170" spans="1:11" ht="15" customHeight="1" x14ac:dyDescent="0.2">
      <c r="A170" s="5" t="s">
        <v>850</v>
      </c>
      <c r="B170" s="11">
        <f t="shared" ref="B170:K170" si="47">B62</f>
        <v>1920291.4389799638</v>
      </c>
      <c r="C170" s="11">
        <f t="shared" si="47"/>
        <v>2033878.2867783988</v>
      </c>
      <c r="D170" s="11">
        <f t="shared" si="47"/>
        <v>2360036.8798350515</v>
      </c>
      <c r="E170" s="11">
        <f t="shared" si="47"/>
        <v>2595963.4424303267</v>
      </c>
      <c r="F170" s="11">
        <f t="shared" si="47"/>
        <v>2610177.3150690724</v>
      </c>
      <c r="G170" s="11">
        <f t="shared" si="47"/>
        <v>2905032.6513611265</v>
      </c>
      <c r="H170" s="11">
        <f t="shared" si="47"/>
        <v>3119376.7698023696</v>
      </c>
      <c r="I170" s="11">
        <f t="shared" si="47"/>
        <v>3177925.0722509678</v>
      </c>
      <c r="J170" s="11">
        <f t="shared" si="47"/>
        <v>3389545.9918349525</v>
      </c>
      <c r="K170" s="11">
        <f t="shared" si="47"/>
        <v>3550201.78070436</v>
      </c>
    </row>
    <row r="171" spans="1:11" ht="15" customHeight="1" x14ac:dyDescent="0.2">
      <c r="A171" s="7" t="s">
        <v>623</v>
      </c>
      <c r="B171" s="13">
        <f t="shared" ref="B171:K171" si="48">B170+B63-B168-B65</f>
        <v>756581.1466799638</v>
      </c>
      <c r="C171" s="13">
        <f t="shared" si="48"/>
        <v>908112.21240152419</v>
      </c>
      <c r="D171" s="13">
        <f t="shared" si="48"/>
        <v>1266572.69864987</v>
      </c>
      <c r="E171" s="13">
        <f t="shared" si="48"/>
        <v>1532874.9772185646</v>
      </c>
      <c r="F171" s="13">
        <f t="shared" si="48"/>
        <v>1579056.1443482914</v>
      </c>
      <c r="G171" s="13">
        <f t="shared" si="48"/>
        <v>1910792.2906944836</v>
      </c>
      <c r="H171" s="13">
        <f t="shared" si="48"/>
        <v>2159773.7901310669</v>
      </c>
      <c r="I171" s="13">
        <f t="shared" si="48"/>
        <v>2256891.4855264928</v>
      </c>
      <c r="J171" s="13">
        <f t="shared" si="48"/>
        <v>2518980.1416347837</v>
      </c>
      <c r="K171" s="13">
        <f t="shared" si="48"/>
        <v>2748959.6780513478</v>
      </c>
    </row>
    <row r="172" spans="1:11" ht="15" customHeight="1" x14ac:dyDescent="0.2">
      <c r="A172" s="5" t="s">
        <v>68</v>
      </c>
      <c r="B172" s="65">
        <f>IF(B35=0,"",(B168-B19)/B35)</f>
        <v>10.386362131166996</v>
      </c>
      <c r="C172" s="65">
        <f>IF(C35=0,"",(C168-B19)/C35)</f>
        <v>9.6303085405833055</v>
      </c>
      <c r="D172" s="65">
        <f>IF(D35=0,"",(D168-B19)/D35)</f>
        <v>8.868252063888665</v>
      </c>
      <c r="E172" s="65">
        <f>IF(E35=0,"",(E168-B19)/E35)</f>
        <v>8.229028080436672</v>
      </c>
      <c r="F172" s="65">
        <f>IF(F35=0,"",(F168-B19)/F35)</f>
        <v>7.7457379313901722</v>
      </c>
      <c r="G172" s="65">
        <f>IF(G35=0,"",(G168-B19)/G35)</f>
        <v>7.0424486386724245</v>
      </c>
      <c r="H172" s="65">
        <f>IF(H35=0,"",(H168-B19)/H35)</f>
        <v>6.432607422060773</v>
      </c>
      <c r="I172" s="65">
        <f>IF(I35=0,"",(I168-B19)/I35)</f>
        <v>5.6637863886533628</v>
      </c>
      <c r="J172" s="65">
        <f>IF(J35=0,"",(J168-B19)/J35)</f>
        <v>4.8631704849254263</v>
      </c>
      <c r="K172" s="65">
        <f>IF(K35=0,"",(K168-B19)/K35)</f>
        <v>4.1090191863826124</v>
      </c>
    </row>
    <row r="173" spans="1:11" ht="15" customHeight="1" x14ac:dyDescent="0.2">
      <c r="A173" s="7"/>
      <c r="B173" s="65"/>
      <c r="C173" s="65"/>
      <c r="D173" s="65"/>
      <c r="E173" s="65"/>
      <c r="F173" s="65"/>
      <c r="G173" s="65"/>
      <c r="H173" s="65"/>
      <c r="I173" s="65"/>
      <c r="J173" s="65"/>
      <c r="K173" s="65"/>
    </row>
    <row r="174" spans="1:11" ht="15" customHeight="1" x14ac:dyDescent="0.2">
      <c r="A174" s="7" t="s">
        <v>851</v>
      </c>
      <c r="B174" s="52"/>
      <c r="C174" s="52"/>
      <c r="D174" s="52"/>
      <c r="E174" s="52"/>
      <c r="F174" s="52"/>
      <c r="G174" s="52"/>
      <c r="H174" s="52"/>
      <c r="I174" s="52"/>
      <c r="J174" s="52"/>
      <c r="K174" s="52"/>
    </row>
    <row r="175" spans="1:11" ht="15" customHeight="1" x14ac:dyDescent="0.2">
      <c r="A175" s="5" t="s">
        <v>42</v>
      </c>
      <c r="B175" s="52">
        <f>B165/B17</f>
        <v>0.8657955238652838</v>
      </c>
      <c r="C175" s="52">
        <f>C165/B17</f>
        <v>0.94084921033414204</v>
      </c>
      <c r="D175" s="52">
        <f>D165/B17</f>
        <v>1.0124487963349256</v>
      </c>
      <c r="E175" s="52">
        <f>E165/B17</f>
        <v>1.0896428929630553</v>
      </c>
      <c r="F175" s="52">
        <f>F165/B17</f>
        <v>1.1614706050758734</v>
      </c>
      <c r="G175" s="52">
        <f>G165/B17</f>
        <v>1.2627586841189775</v>
      </c>
      <c r="H175" s="52">
        <f>H165/B17</f>
        <v>1.3315790462475072</v>
      </c>
      <c r="I175" s="52">
        <f>I165/B17</f>
        <v>1.4228134248078781</v>
      </c>
      <c r="J175" s="52">
        <f>J165/B17</f>
        <v>1.5559689011519666</v>
      </c>
      <c r="K175" s="52">
        <f>K165/B17</f>
        <v>1.6899277828365129</v>
      </c>
    </row>
    <row r="176" spans="1:11" ht="15" customHeight="1" x14ac:dyDescent="0.2">
      <c r="A176" s="7" t="s">
        <v>625</v>
      </c>
      <c r="B176" s="14">
        <f>B171/B17</f>
        <v>10.546742872197555</v>
      </c>
      <c r="C176" s="14">
        <f>C171/B17</f>
        <v>12.65908626633105</v>
      </c>
      <c r="D176" s="14">
        <f>D171/B17</f>
        <v>17.656026244143387</v>
      </c>
      <c r="E176" s="14">
        <f>E171/B17</f>
        <v>21.368280601351685</v>
      </c>
      <c r="F176" s="14">
        <f>F171/B17</f>
        <v>22.012046174142572</v>
      </c>
      <c r="G176" s="14">
        <f>G171/B17</f>
        <v>26.636448794112908</v>
      </c>
      <c r="H176" s="14">
        <f>H171/B17</f>
        <v>30.107251451587306</v>
      </c>
      <c r="I176" s="14">
        <f>I171/B17</f>
        <v>31.461072342010883</v>
      </c>
      <c r="J176" s="14">
        <f>J171/B17</f>
        <v>35.11458879272309</v>
      </c>
      <c r="K176" s="14">
        <f>K171/B17</f>
        <v>38.320504043316433</v>
      </c>
    </row>
    <row r="177" spans="1:11" ht="15" customHeight="1" x14ac:dyDescent="0.2">
      <c r="A177" s="7"/>
      <c r="B177" s="57"/>
    </row>
    <row r="178" spans="1:11" ht="15" customHeight="1" x14ac:dyDescent="0.2">
      <c r="A178" s="7" t="s">
        <v>852</v>
      </c>
    </row>
    <row r="179" spans="1:11" ht="15" customHeight="1" x14ac:dyDescent="0.2">
      <c r="A179" s="5" t="s">
        <v>853</v>
      </c>
      <c r="B179" s="52">
        <f>-B176</f>
        <v>-10.546742872197555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f>K176</f>
        <v>38.320504043316433</v>
      </c>
    </row>
    <row r="180" spans="1:11" ht="15" customHeight="1" x14ac:dyDescent="0.2">
      <c r="A180" s="7" t="s">
        <v>822</v>
      </c>
      <c r="B180" s="57">
        <f>IRR(B179:K179)</f>
        <v>0.15413598947543194</v>
      </c>
    </row>
    <row r="181" spans="1:11" ht="15" customHeight="1" x14ac:dyDescent="0.2">
      <c r="A181" s="5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ht="15" customHeight="1" x14ac:dyDescent="0.2">
      <c r="A182" s="18" t="s">
        <v>854</v>
      </c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ht="15" customHeight="1" x14ac:dyDescent="0.2">
      <c r="A183" s="7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ht="15" customHeight="1" x14ac:dyDescent="0.2">
      <c r="A184" s="7"/>
      <c r="B184" s="22"/>
      <c r="C184" s="22"/>
      <c r="D184" s="22"/>
      <c r="E184" s="22"/>
      <c r="F184" s="22"/>
      <c r="G184" s="13" t="s">
        <v>855</v>
      </c>
      <c r="H184" s="13" t="s">
        <v>130</v>
      </c>
      <c r="I184" s="13" t="s">
        <v>132</v>
      </c>
      <c r="J184" s="22"/>
      <c r="K184" s="22"/>
    </row>
    <row r="186" spans="1:11" ht="15" customHeight="1" x14ac:dyDescent="0.2">
      <c r="A186" s="5" t="s">
        <v>856</v>
      </c>
      <c r="B186" s="11"/>
      <c r="C186" s="11"/>
      <c r="D186" s="11"/>
      <c r="E186" s="11"/>
      <c r="F186" s="11"/>
      <c r="G186" s="15">
        <f>B97</f>
        <v>0.18648786166740727</v>
      </c>
      <c r="H186" s="15">
        <f>B180</f>
        <v>0.15413598947543194</v>
      </c>
      <c r="I186" s="15">
        <f>B126</f>
        <v>0.14858725033813025</v>
      </c>
      <c r="J186" s="11"/>
      <c r="K186" s="11"/>
    </row>
    <row r="187" spans="1:11" ht="15" customHeight="1" x14ac:dyDescent="0.2">
      <c r="A187" s="7" t="s">
        <v>136</v>
      </c>
      <c r="B187" s="13"/>
      <c r="C187" s="13"/>
      <c r="D187" s="13"/>
      <c r="E187" s="13"/>
      <c r="F187" s="13"/>
      <c r="G187" s="21">
        <f>IF(OR(G186="",I186=""),"",(G186-I186)*10000)</f>
        <v>379.00611329277024</v>
      </c>
      <c r="H187" s="21">
        <f>IF(OR(H186="",I186=""),"",(H186-I186)*10000)</f>
        <v>55.487391373016948</v>
      </c>
      <c r="I187" s="13"/>
      <c r="J187" s="13"/>
      <c r="K187" s="13"/>
    </row>
    <row r="188" spans="1:11" ht="1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 ht="15" customHeight="1" x14ac:dyDescent="0.2">
      <c r="A189" s="5" t="s">
        <v>137</v>
      </c>
      <c r="B189" s="14"/>
      <c r="C189" s="14"/>
      <c r="D189" s="14"/>
      <c r="E189" s="14"/>
      <c r="F189" s="14"/>
      <c r="G189" s="15">
        <f>K133</f>
        <v>4.5228215500804358E-2</v>
      </c>
      <c r="H189" s="20">
        <f>IF(OR(B175=0,K175=0),"",POWER(K175/B175,1/9)-1)</f>
        <v>7.7140943806120799E-2</v>
      </c>
      <c r="I189" s="15">
        <f>K134</f>
        <v>4.0409192141747541E-2</v>
      </c>
      <c r="J189" s="14"/>
      <c r="K189" s="14"/>
    </row>
    <row r="190" spans="1:11" ht="15" customHeight="1" x14ac:dyDescent="0.2">
      <c r="A190" s="7" t="s">
        <v>138</v>
      </c>
      <c r="B190" s="19"/>
      <c r="C190" s="19"/>
      <c r="D190" s="19"/>
      <c r="E190" s="19"/>
      <c r="F190" s="19"/>
      <c r="G190" s="21">
        <f>IF(OR(G189="",I189=""),"",(G189-I189)*10000)</f>
        <v>48.190233590568177</v>
      </c>
      <c r="H190" s="21">
        <f>IF(OR(H189="",I189=""),"",(H189-I189)*10000)</f>
        <v>367.31751664373257</v>
      </c>
      <c r="I190" s="19"/>
      <c r="J190" s="19"/>
      <c r="K190" s="19"/>
    </row>
    <row r="192" spans="1:11" ht="15" customHeight="1" x14ac:dyDescent="0.2">
      <c r="A192" s="5" t="s">
        <v>139</v>
      </c>
      <c r="C192" s="57"/>
      <c r="D192" s="57"/>
      <c r="E192" s="57"/>
      <c r="F192" s="57"/>
      <c r="G192" s="19">
        <f>K77</f>
        <v>24.908018546885113</v>
      </c>
      <c r="H192" s="19">
        <f>K176</f>
        <v>38.320504043316433</v>
      </c>
      <c r="I192" s="19">
        <f>BS!K59</f>
        <v>25.223921026198358</v>
      </c>
      <c r="J192" s="57"/>
      <c r="K192" s="57"/>
    </row>
    <row r="193" spans="1:11" ht="15" customHeight="1" x14ac:dyDescent="0.2">
      <c r="A193" s="5" t="s">
        <v>140</v>
      </c>
      <c r="C193" s="57"/>
      <c r="D193" s="57"/>
      <c r="E193" s="57"/>
      <c r="F193" s="57"/>
      <c r="G193" s="25">
        <f>K80</f>
        <v>10.695439686700974</v>
      </c>
      <c r="H193" s="25">
        <f>K172</f>
        <v>4.1090191863826124</v>
      </c>
      <c r="I193" s="25">
        <f>BS!K41</f>
        <v>9.6756504590852224</v>
      </c>
      <c r="J193" s="57"/>
      <c r="K193" s="57"/>
    </row>
    <row r="194" spans="1:11" ht="15" customHeight="1" x14ac:dyDescent="0.2">
      <c r="A194" s="7"/>
      <c r="C194" s="57"/>
      <c r="D194" s="57"/>
      <c r="E194" s="57"/>
      <c r="F194" s="57"/>
      <c r="G194" s="57"/>
      <c r="H194" s="57"/>
      <c r="I194" s="57"/>
      <c r="J194" s="57"/>
      <c r="K194" s="57"/>
    </row>
    <row r="196" spans="1:11" ht="15" customHeight="1" x14ac:dyDescent="0.2">
      <c r="A196" s="5"/>
      <c r="B196" s="52"/>
      <c r="C196" s="52"/>
      <c r="D196" s="52"/>
      <c r="E196" s="52"/>
      <c r="F196" s="52"/>
      <c r="G196" s="52"/>
      <c r="H196" s="52"/>
      <c r="I196" s="52"/>
      <c r="J196" s="52"/>
      <c r="K196" s="52"/>
    </row>
    <row r="197" spans="1:11" ht="15" customHeight="1" x14ac:dyDescent="0.2">
      <c r="A197" s="7"/>
      <c r="B197" s="57"/>
    </row>
    <row r="199" spans="1:11" ht="15" customHeight="1" x14ac:dyDescent="0.2">
      <c r="A199" s="18"/>
    </row>
    <row r="201" spans="1:11" ht="15" customHeight="1" x14ac:dyDescent="0.2">
      <c r="A201" s="5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ht="15" customHeight="1" x14ac:dyDescent="0.2">
      <c r="A202" s="5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ht="15" customHeight="1" x14ac:dyDescent="0.2">
      <c r="A203" s="7"/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  <row r="205" spans="1:11" ht="15" customHeight="1" x14ac:dyDescent="0.2">
      <c r="A205" s="5"/>
      <c r="B205" s="15"/>
    </row>
    <row r="206" spans="1:11" ht="15" customHeight="1" x14ac:dyDescent="0.2">
      <c r="A206" s="5"/>
      <c r="B206" s="15"/>
    </row>
    <row r="207" spans="1:11" ht="15" customHeight="1" x14ac:dyDescent="0.2">
      <c r="A207" s="7"/>
      <c r="B207" s="8"/>
    </row>
    <row r="209" spans="1:11" ht="15" customHeight="1" x14ac:dyDescent="0.2">
      <c r="A209" s="5"/>
      <c r="B209" s="1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1:11" ht="15" customHeight="1" x14ac:dyDescent="0.2">
      <c r="A210" s="5"/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1:11" ht="15" customHeight="1" x14ac:dyDescent="0.2">
      <c r="A211" s="7"/>
      <c r="B211" s="14"/>
      <c r="C211" s="14"/>
      <c r="D211" s="14"/>
      <c r="E211" s="14"/>
      <c r="F211" s="14"/>
      <c r="G211" s="14"/>
      <c r="H211" s="14"/>
      <c r="I211" s="14"/>
      <c r="J211" s="14"/>
      <c r="K211" s="14"/>
    </row>
    <row r="213" spans="1:11" ht="15" customHeight="1" x14ac:dyDescent="0.2">
      <c r="A213" s="5"/>
      <c r="B213" s="1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1:11" ht="15" customHeight="1" x14ac:dyDescent="0.2">
      <c r="A214" s="5"/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1:11" ht="15" customHeight="1" x14ac:dyDescent="0.2">
      <c r="A215" s="7"/>
      <c r="B215" s="14"/>
      <c r="C215" s="14"/>
      <c r="D215" s="14"/>
      <c r="E215" s="14"/>
      <c r="F215" s="14"/>
      <c r="G215" s="14"/>
      <c r="H215" s="14"/>
      <c r="I215" s="14"/>
      <c r="J215" s="14"/>
      <c r="K215" s="14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0"/>
  <sheetViews>
    <sheetView showGridLines="0" topLeftCell="A101" zoomScaleNormal="100" workbookViewId="0">
      <selection activeCell="C9" sqref="C9:F10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7" ht="15" customHeight="1" x14ac:dyDescent="0.2">
      <c r="A1" t="s">
        <v>233</v>
      </c>
    </row>
    <row r="2" spans="1:7" ht="15" customHeight="1" x14ac:dyDescent="0.2">
      <c r="A2" t="s">
        <v>234</v>
      </c>
    </row>
    <row r="3" spans="1:7" ht="15" customHeight="1" x14ac:dyDescent="0.2">
      <c r="A3" t="s">
        <v>235</v>
      </c>
    </row>
    <row r="5" spans="1:7" ht="15" customHeight="1" x14ac:dyDescent="0.2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t="s">
        <v>236</v>
      </c>
    </row>
    <row r="7" spans="1:7" ht="15" customHeight="1" x14ac:dyDescent="0.2">
      <c r="A7" s="2" t="s">
        <v>237</v>
      </c>
    </row>
    <row r="8" spans="1:7" ht="15" customHeight="1" x14ac:dyDescent="0.2">
      <c r="A8" t="s">
        <v>238</v>
      </c>
      <c r="B8" s="4">
        <f>B12*B99</f>
        <v>2.9087499999999999E-2</v>
      </c>
      <c r="C8" s="4">
        <f>C12*C99</f>
        <v>2.9087499999999999E-2</v>
      </c>
      <c r="D8" s="4">
        <f>D12*D99</f>
        <v>2.9087499999999999E-2</v>
      </c>
      <c r="E8" s="4">
        <f>E12*E99</f>
        <v>2.9087499999999999E-2</v>
      </c>
      <c r="F8" s="4">
        <f>F12*F99</f>
        <v>2.9087499999999999E-2</v>
      </c>
      <c r="G8" t="s">
        <v>239</v>
      </c>
    </row>
    <row r="9" spans="1:7" ht="15" customHeight="1" x14ac:dyDescent="0.2">
      <c r="A9" t="s">
        <v>240</v>
      </c>
      <c r="B9" s="37">
        <v>0.15</v>
      </c>
      <c r="C9" s="37">
        <f>B9</f>
        <v>0.15</v>
      </c>
      <c r="D9" s="37">
        <f t="shared" ref="D9:F9" si="0">C9</f>
        <v>0.15</v>
      </c>
      <c r="E9" s="37">
        <f t="shared" si="0"/>
        <v>0.15</v>
      </c>
      <c r="F9" s="37">
        <f t="shared" si="0"/>
        <v>0.15</v>
      </c>
      <c r="G9" t="s">
        <v>241</v>
      </c>
    </row>
    <row r="10" spans="1:7" ht="15" customHeight="1" x14ac:dyDescent="0.2">
      <c r="A10" t="s">
        <v>242</v>
      </c>
      <c r="B10" s="37">
        <v>0.1</v>
      </c>
      <c r="C10" s="37">
        <f>B10</f>
        <v>0.1</v>
      </c>
      <c r="D10" s="37">
        <f t="shared" ref="D10:F10" si="1">C10</f>
        <v>0.1</v>
      </c>
      <c r="E10" s="37">
        <f t="shared" si="1"/>
        <v>0.1</v>
      </c>
      <c r="F10" s="37">
        <f t="shared" si="1"/>
        <v>0.1</v>
      </c>
      <c r="G10" t="s">
        <v>243</v>
      </c>
    </row>
    <row r="11" spans="1:7" ht="15" customHeight="1" x14ac:dyDescent="0.2">
      <c r="A11" t="s">
        <v>244</v>
      </c>
      <c r="B11" s="37">
        <v>3.5000000000000003E-2</v>
      </c>
      <c r="C11" s="37">
        <v>3.5000000000000003E-2</v>
      </c>
      <c r="D11" s="37">
        <v>3.5000000000000003E-2</v>
      </c>
      <c r="E11" s="37">
        <v>3.5000000000000003E-2</v>
      </c>
      <c r="F11" s="37">
        <v>3.5000000000000003E-2</v>
      </c>
      <c r="G11" t="s">
        <v>245</v>
      </c>
    </row>
    <row r="12" spans="1:7" ht="15" customHeight="1" x14ac:dyDescent="0.2">
      <c r="A12" t="s">
        <v>246</v>
      </c>
      <c r="B12" s="4">
        <f>B9*B10+(1-B9)*B11</f>
        <v>4.4749999999999998E-2</v>
      </c>
      <c r="C12" s="4">
        <f>C9*C10+(1-C9)*C11</f>
        <v>4.4749999999999998E-2</v>
      </c>
      <c r="D12" s="4">
        <f>D9*D10+(1-D9)*D11</f>
        <v>4.4749999999999998E-2</v>
      </c>
      <c r="E12" s="4">
        <f>E9*E10+(1-E9)*E11</f>
        <v>4.4749999999999998E-2</v>
      </c>
      <c r="F12" s="4">
        <f>F9*F10+(1-F9)*F11</f>
        <v>4.4749999999999998E-2</v>
      </c>
    </row>
    <row r="13" spans="1:7" ht="15" customHeight="1" x14ac:dyDescent="0.2">
      <c r="A13" t="s">
        <v>84</v>
      </c>
      <c r="B13" s="37">
        <v>0.97</v>
      </c>
      <c r="C13" s="37">
        <v>0.97</v>
      </c>
      <c r="D13" s="37">
        <v>0.97499999999999998</v>
      </c>
      <c r="E13" s="37">
        <v>0.97499999999999998</v>
      </c>
      <c r="F13" s="37">
        <v>0.97499999999999998</v>
      </c>
    </row>
    <row r="14" spans="1:7" ht="15" customHeight="1" x14ac:dyDescent="0.2">
      <c r="A14" t="s">
        <v>85</v>
      </c>
      <c r="B14" s="38">
        <v>1664</v>
      </c>
      <c r="C14" s="17">
        <f>B14*(1+B8)</f>
        <v>1712.4015999999999</v>
      </c>
      <c r="D14" s="17">
        <f>C14*(1+C8)</f>
        <v>1762.2110815399999</v>
      </c>
      <c r="E14" s="17">
        <f>D14*(1+D8)</f>
        <v>1813.4693963742945</v>
      </c>
      <c r="F14" s="17">
        <f>E14*(1+E8)</f>
        <v>1866.2186874413317</v>
      </c>
      <c r="G14" t="s">
        <v>247</v>
      </c>
    </row>
    <row r="16" spans="1:7" ht="15" customHeight="1" x14ac:dyDescent="0.2">
      <c r="A16" s="2" t="s">
        <v>248</v>
      </c>
    </row>
    <row r="17" spans="1:7" ht="15" customHeight="1" x14ac:dyDescent="0.2">
      <c r="A17" t="s">
        <v>249</v>
      </c>
      <c r="B17" s="37">
        <v>0.03</v>
      </c>
      <c r="C17" s="37">
        <v>0.03</v>
      </c>
      <c r="D17" s="37">
        <v>0.03</v>
      </c>
      <c r="E17" s="37">
        <v>0.03</v>
      </c>
      <c r="F17" s="37">
        <v>0.03</v>
      </c>
    </row>
    <row r="18" spans="1:7" ht="15" customHeight="1" x14ac:dyDescent="0.2">
      <c r="A18" t="s">
        <v>250</v>
      </c>
      <c r="B18" s="37">
        <v>0.02</v>
      </c>
      <c r="C18" s="37">
        <v>0.02</v>
      </c>
      <c r="D18" s="37">
        <v>0.02</v>
      </c>
      <c r="E18" s="37">
        <v>0.02</v>
      </c>
      <c r="F18" s="37">
        <v>0.02</v>
      </c>
    </row>
    <row r="19" spans="1:7" ht="15" customHeight="1" x14ac:dyDescent="0.2">
      <c r="A19" t="s">
        <v>251</v>
      </c>
      <c r="B19" s="37">
        <v>3.5000000000000003E-2</v>
      </c>
      <c r="C19" s="37">
        <v>3.5000000000000003E-2</v>
      </c>
      <c r="D19" s="37">
        <v>3.5000000000000003E-2</v>
      </c>
      <c r="E19" s="37">
        <v>3.5000000000000003E-2</v>
      </c>
      <c r="F19" s="37">
        <v>3.5000000000000003E-2</v>
      </c>
    </row>
    <row r="20" spans="1:7" ht="15" customHeight="1" x14ac:dyDescent="0.2">
      <c r="A20" t="s">
        <v>252</v>
      </c>
      <c r="B20" s="37">
        <v>2.9000000000000001E-2</v>
      </c>
      <c r="C20" s="37">
        <v>2.9000000000000001E-2</v>
      </c>
      <c r="D20" s="37">
        <v>2.9000000000000001E-2</v>
      </c>
      <c r="E20" s="37">
        <v>2.9000000000000001E-2</v>
      </c>
      <c r="F20" s="37">
        <v>2.9000000000000001E-2</v>
      </c>
    </row>
    <row r="22" spans="1:7" ht="15" customHeight="1" x14ac:dyDescent="0.2">
      <c r="A22" s="2" t="s">
        <v>253</v>
      </c>
    </row>
    <row r="23" spans="1:7" ht="15" customHeight="1" x14ac:dyDescent="0.2">
      <c r="A23" s="7" t="s">
        <v>254</v>
      </c>
      <c r="B23" s="20">
        <f>IF((B102-B106)=0,"",(B104-B107)/(B102-B106)-1)</f>
        <v>2.9131647964509622E-2</v>
      </c>
      <c r="C23" s="20">
        <f>IF((C102-C106)=0,"",(C104-C107)/(C102-C106)-1)</f>
        <v>2.9131642317039796E-2</v>
      </c>
      <c r="D23" s="20">
        <f>IF((D102-D106)=0,"",(D104-D107)/(D102-D106)-1)</f>
        <v>2.9131636670534977E-2</v>
      </c>
      <c r="E23" s="20">
        <f>IF((E102-E106)=0,"",(E104-E107)/(E102-E106)-1)</f>
        <v>2.9131631024994276E-2</v>
      </c>
      <c r="F23" s="20">
        <f>IF((F102-F106)=0,"",(F104-F107)/(F102-F106)-1)</f>
        <v>2.9131625380418136E-2</v>
      </c>
      <c r="G23" s="5" t="s">
        <v>255</v>
      </c>
    </row>
    <row r="27" spans="1:7" ht="15" customHeight="1" x14ac:dyDescent="0.2">
      <c r="A27" s="2" t="s">
        <v>256</v>
      </c>
    </row>
    <row r="28" spans="1:7" ht="15" customHeight="1" x14ac:dyDescent="0.2">
      <c r="A28" t="s">
        <v>257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t="s">
        <v>258</v>
      </c>
    </row>
    <row r="29" spans="1:7" ht="15" customHeight="1" x14ac:dyDescent="0.2">
      <c r="A29" t="s">
        <v>259</v>
      </c>
      <c r="B29" s="37">
        <v>0.05</v>
      </c>
      <c r="C29" s="37">
        <v>0.05</v>
      </c>
      <c r="D29" s="37">
        <v>0.05</v>
      </c>
      <c r="E29" s="37">
        <v>0.05</v>
      </c>
      <c r="F29" s="37">
        <v>0.05</v>
      </c>
    </row>
    <row r="30" spans="1:7" ht="15" customHeight="1" x14ac:dyDescent="0.2">
      <c r="A30" t="s">
        <v>260</v>
      </c>
      <c r="B30" s="39">
        <v>0</v>
      </c>
      <c r="C30" s="39">
        <f>B30</f>
        <v>0</v>
      </c>
      <c r="D30" s="39">
        <f>C30</f>
        <v>0</v>
      </c>
      <c r="E30" s="39">
        <f>D30</f>
        <v>0</v>
      </c>
      <c r="F30" s="39">
        <f>E30</f>
        <v>0</v>
      </c>
    </row>
    <row r="31" spans="1:7" ht="15" customHeight="1" x14ac:dyDescent="0.2">
      <c r="A31" t="s">
        <v>261</v>
      </c>
      <c r="B31" s="37">
        <v>0.05</v>
      </c>
      <c r="C31" s="37">
        <v>0.05</v>
      </c>
      <c r="D31" s="37">
        <v>0.05</v>
      </c>
      <c r="E31" s="37">
        <v>0.05</v>
      </c>
      <c r="F31" s="37">
        <v>0.05</v>
      </c>
    </row>
    <row r="32" spans="1:7" ht="15" customHeight="1" x14ac:dyDescent="0.2">
      <c r="A32" s="5" t="s">
        <v>262</v>
      </c>
      <c r="B32" s="40">
        <v>250</v>
      </c>
      <c r="C32" s="40">
        <v>250</v>
      </c>
      <c r="D32" s="40">
        <v>250</v>
      </c>
      <c r="E32" s="40">
        <v>250</v>
      </c>
      <c r="F32" s="40">
        <v>250</v>
      </c>
      <c r="G32" s="5" t="s">
        <v>263</v>
      </c>
    </row>
    <row r="33" spans="1:7" ht="15" customHeight="1" x14ac:dyDescent="0.2">
      <c r="A33" s="2" t="s">
        <v>264</v>
      </c>
    </row>
    <row r="34" spans="1:7" ht="15" customHeight="1" x14ac:dyDescent="0.2">
      <c r="A34" t="s">
        <v>265</v>
      </c>
      <c r="B34" s="37">
        <v>5.5E-2</v>
      </c>
      <c r="C34" s="37">
        <v>5.3999999999999999E-2</v>
      </c>
      <c r="D34" s="37">
        <v>5.2999999999999999E-2</v>
      </c>
      <c r="E34" s="37">
        <v>5.2999999999999999E-2</v>
      </c>
      <c r="F34" s="37">
        <v>5.2999999999999999E-2</v>
      </c>
      <c r="G34" t="s">
        <v>266</v>
      </c>
    </row>
    <row r="35" spans="1:7" ht="15" customHeight="1" x14ac:dyDescent="0.2">
      <c r="A35" t="s">
        <v>267</v>
      </c>
      <c r="B35" s="39">
        <v>2200</v>
      </c>
      <c r="C35" s="39">
        <v>2200</v>
      </c>
      <c r="D35" s="39">
        <v>2200</v>
      </c>
      <c r="E35" s="39">
        <v>2200</v>
      </c>
      <c r="F35" s="39">
        <v>2200</v>
      </c>
    </row>
    <row r="36" spans="1:7" ht="15" customHeight="1" x14ac:dyDescent="0.2">
      <c r="A36" t="s">
        <v>268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</row>
    <row r="37" spans="1:7" ht="15" customHeight="1" x14ac:dyDescent="0.2">
      <c r="A37" t="s">
        <v>269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t="s">
        <v>270</v>
      </c>
    </row>
    <row r="38" spans="1:7" ht="15" customHeight="1" x14ac:dyDescent="0.2">
      <c r="A38" t="s">
        <v>271</v>
      </c>
      <c r="B38" s="39">
        <v>3500</v>
      </c>
      <c r="C38" s="39">
        <v>3500</v>
      </c>
      <c r="D38" s="39">
        <v>3500</v>
      </c>
      <c r="E38" s="39">
        <v>3500</v>
      </c>
      <c r="F38" s="39">
        <v>3500</v>
      </c>
    </row>
    <row r="40" spans="1:7" ht="15" customHeight="1" x14ac:dyDescent="0.2">
      <c r="A40" s="2" t="s">
        <v>272</v>
      </c>
    </row>
    <row r="41" spans="1:7" ht="15" customHeight="1" x14ac:dyDescent="0.2">
      <c r="A41" t="s">
        <v>273</v>
      </c>
      <c r="B41" s="39">
        <v>2216592</v>
      </c>
      <c r="C41" s="9">
        <f>B49</f>
        <v>2149592</v>
      </c>
      <c r="D41" s="9">
        <f>C49</f>
        <v>2082592</v>
      </c>
      <c r="E41" s="9">
        <f>D49</f>
        <v>2015592</v>
      </c>
      <c r="F41" s="9">
        <f>E49</f>
        <v>1948592</v>
      </c>
      <c r="G41" t="s">
        <v>274</v>
      </c>
    </row>
    <row r="42" spans="1:7" ht="15" customHeight="1" x14ac:dyDescent="0.2">
      <c r="A42" t="s">
        <v>275</v>
      </c>
      <c r="B42" s="39">
        <v>301769</v>
      </c>
      <c r="C42" s="39">
        <v>192471</v>
      </c>
      <c r="D42" s="39">
        <v>480037</v>
      </c>
      <c r="E42" s="39">
        <v>280011</v>
      </c>
      <c r="F42" s="39">
        <v>395355</v>
      </c>
    </row>
    <row r="43" spans="1:7" ht="15" customHeight="1" x14ac:dyDescent="0.2">
      <c r="A43" t="s">
        <v>276</v>
      </c>
      <c r="B43" s="37">
        <v>2.7E-2</v>
      </c>
      <c r="C43" s="37">
        <v>3.8399999999999997E-2</v>
      </c>
      <c r="D43" s="37">
        <v>4.1000000000000002E-2</v>
      </c>
      <c r="E43" s="37">
        <v>3.9100000000000003E-2</v>
      </c>
      <c r="F43" s="37">
        <v>3.0599999999999999E-2</v>
      </c>
    </row>
    <row r="44" spans="1:7" ht="15" customHeight="1" x14ac:dyDescent="0.2">
      <c r="A44" t="s">
        <v>277</v>
      </c>
      <c r="B44" s="37">
        <v>0.04</v>
      </c>
      <c r="C44" s="37">
        <v>0.04</v>
      </c>
      <c r="D44" s="37">
        <v>3.9E-2</v>
      </c>
      <c r="E44" s="37">
        <v>3.7999999999999999E-2</v>
      </c>
      <c r="F44" s="37">
        <v>3.7999999999999999E-2</v>
      </c>
    </row>
    <row r="45" spans="1:7" ht="15" customHeight="1" x14ac:dyDescent="0.2">
      <c r="A45" t="s">
        <v>278</v>
      </c>
      <c r="B45" s="39">
        <v>67000</v>
      </c>
      <c r="C45" s="39">
        <v>67000</v>
      </c>
      <c r="D45" s="39">
        <v>67000</v>
      </c>
      <c r="E45" s="39">
        <v>67000</v>
      </c>
      <c r="F45" s="39">
        <v>67000</v>
      </c>
      <c r="G45" t="s">
        <v>279</v>
      </c>
    </row>
    <row r="46" spans="1:7" ht="15" customHeight="1" x14ac:dyDescent="0.2">
      <c r="A46" t="s">
        <v>280</v>
      </c>
      <c r="B46" s="22">
        <f>(B28-B30)*B98</f>
        <v>0</v>
      </c>
      <c r="C46" s="22">
        <f>(C28-C30)*C98</f>
        <v>0</v>
      </c>
      <c r="D46" s="22">
        <f>(D28-D30)*D98</f>
        <v>0</v>
      </c>
      <c r="E46" s="22">
        <f>(E28-E30)*E98</f>
        <v>0</v>
      </c>
      <c r="F46" s="22">
        <f>(F28-F30)*F98</f>
        <v>0</v>
      </c>
    </row>
    <row r="47" spans="1:7" ht="15" customHeight="1" x14ac:dyDescent="0.2">
      <c r="A47" t="s">
        <v>281</v>
      </c>
      <c r="B47" s="37">
        <v>3.5999999999999997E-2</v>
      </c>
      <c r="C47" s="37">
        <v>3.5999999999999997E-2</v>
      </c>
      <c r="D47" s="37">
        <v>3.5999999999999997E-2</v>
      </c>
      <c r="E47" s="37">
        <v>3.5999999999999997E-2</v>
      </c>
      <c r="F47" s="37">
        <v>3.5999999999999997E-2</v>
      </c>
      <c r="G47" t="s">
        <v>282</v>
      </c>
    </row>
    <row r="48" spans="1:7" ht="15" customHeight="1" x14ac:dyDescent="0.2">
      <c r="A48" t="s">
        <v>283</v>
      </c>
      <c r="B48" s="4">
        <f>((B41-B42)*B47+B42*B44)/B41</f>
        <v>3.6544563907115066E-2</v>
      </c>
      <c r="C48" s="4">
        <f>((C41-C42)*C47+C42*C44)/C41</f>
        <v>3.6358153547277811E-2</v>
      </c>
      <c r="D48" s="4">
        <f>((D41-D42)*D47+D42*D44)/D41</f>
        <v>3.6691499343126259E-2</v>
      </c>
      <c r="E48" s="4">
        <f>((E41-E42)*E47+E42*E44)/E41</f>
        <v>3.6277844920995915E-2</v>
      </c>
      <c r="F48" s="4">
        <f>((F41-F42)*F47+F42*F44)/F41</f>
        <v>3.6405785305492377E-2</v>
      </c>
    </row>
    <row r="49" spans="1:7" ht="15" customHeight="1" x14ac:dyDescent="0.2">
      <c r="A49" t="s">
        <v>284</v>
      </c>
      <c r="B49" s="9">
        <f>B41-B45+B46</f>
        <v>2149592</v>
      </c>
      <c r="C49" s="9">
        <f>C41-C45+C46</f>
        <v>2082592</v>
      </c>
      <c r="D49" s="9">
        <f>D41-D45+D46</f>
        <v>2015592</v>
      </c>
      <c r="E49" s="9">
        <f>E41-E45+E46</f>
        <v>1948592</v>
      </c>
      <c r="F49" s="9">
        <f>F41-F45+F46</f>
        <v>1881592</v>
      </c>
    </row>
    <row r="50" spans="1:7" ht="15" customHeight="1" x14ac:dyDescent="0.2">
      <c r="A50" t="s">
        <v>285</v>
      </c>
      <c r="B50" s="9">
        <f>(B41+B49)/2*B48</f>
        <v>79780.145109111647</v>
      </c>
      <c r="C50" s="9">
        <f>(C41+C49)/2*C48</f>
        <v>76937.197856166196</v>
      </c>
      <c r="D50" s="9">
        <f>(D41+D49)/2*D48</f>
        <v>75184.25777200528</v>
      </c>
      <c r="E50" s="9">
        <f>(E41+E49)/2*E48</f>
        <v>71906.026195146638</v>
      </c>
      <c r="F50" s="9">
        <f>(F41+F49)/2*F48</f>
        <v>69720.428192266001</v>
      </c>
    </row>
    <row r="51" spans="1:7" ht="15" customHeight="1" x14ac:dyDescent="0.2">
      <c r="A51" t="s">
        <v>286</v>
      </c>
      <c r="B51" s="9">
        <f>BS!L23</f>
        <v>128111.82878447983</v>
      </c>
      <c r="C51" s="9">
        <f>BS!M23</f>
        <v>174933.03574110696</v>
      </c>
      <c r="D51" s="9">
        <f>BS!N23</f>
        <v>214855.04862485483</v>
      </c>
      <c r="E51" s="9">
        <f>BS!O23</f>
        <v>246852.97498416004</v>
      </c>
      <c r="F51" s="9">
        <f>BS!P23</f>
        <v>271415.95273556979</v>
      </c>
    </row>
    <row r="52" spans="1:7" ht="15" customHeight="1" x14ac:dyDescent="0.2">
      <c r="A52" t="s">
        <v>287</v>
      </c>
      <c r="B52" s="37">
        <v>5.5E-2</v>
      </c>
      <c r="C52" s="37">
        <v>5.5E-2</v>
      </c>
      <c r="D52" s="37">
        <v>0.05</v>
      </c>
      <c r="E52" s="37">
        <v>0.05</v>
      </c>
      <c r="F52" s="37">
        <v>0.05</v>
      </c>
    </row>
    <row r="53" spans="1:7" ht="15" customHeight="1" x14ac:dyDescent="0.2">
      <c r="A53" t="s">
        <v>288</v>
      </c>
      <c r="B53" s="9">
        <f>74754*B52</f>
        <v>4111.47</v>
      </c>
      <c r="C53" s="9">
        <f>B51*C52</f>
        <v>7046.150583146391</v>
      </c>
      <c r="D53" s="9">
        <f>C51*D52</f>
        <v>8746.6517870553489</v>
      </c>
      <c r="E53" s="9">
        <f>D51*E52</f>
        <v>10742.752431242741</v>
      </c>
      <c r="F53" s="9">
        <f>E51*F52</f>
        <v>12342.648749208003</v>
      </c>
    </row>
    <row r="54" spans="1:7" ht="15" customHeight="1" x14ac:dyDescent="0.2">
      <c r="A54" t="s">
        <v>289</v>
      </c>
      <c r="B54" s="39">
        <v>2500</v>
      </c>
      <c r="C54" s="39">
        <v>2500</v>
      </c>
      <c r="D54" s="39">
        <v>2500</v>
      </c>
      <c r="E54" s="39">
        <v>2500</v>
      </c>
      <c r="F54" s="39">
        <v>2500</v>
      </c>
    </row>
    <row r="55" spans="1:7" ht="15" customHeight="1" x14ac:dyDescent="0.2">
      <c r="A55" t="s">
        <v>290</v>
      </c>
      <c r="B55" s="9">
        <f>B50+B53+B54</f>
        <v>86391.615109111648</v>
      </c>
      <c r="C55" s="9">
        <f>C50+C53+C54</f>
        <v>86483.348439312584</v>
      </c>
      <c r="D55" s="9">
        <f>D50+D53+D54</f>
        <v>86430.90955906063</v>
      </c>
      <c r="E55" s="9">
        <f>E50+E53+E54</f>
        <v>85148.778626389379</v>
      </c>
      <c r="F55" s="9">
        <f>F50+F53+F54</f>
        <v>84563.076941474006</v>
      </c>
    </row>
    <row r="57" spans="1:7" ht="15" customHeight="1" x14ac:dyDescent="0.2">
      <c r="A57" s="18" t="s">
        <v>291</v>
      </c>
    </row>
    <row r="58" spans="1:7" ht="15" customHeight="1" x14ac:dyDescent="0.2">
      <c r="A58" s="5" t="s">
        <v>292</v>
      </c>
      <c r="B58" s="6">
        <f>Ops!K43</f>
        <v>23603</v>
      </c>
      <c r="C58" s="22">
        <f>B61</f>
        <v>23603</v>
      </c>
      <c r="D58" s="22">
        <f>C61</f>
        <v>23603</v>
      </c>
      <c r="E58" s="22">
        <f>D61</f>
        <v>23603</v>
      </c>
      <c r="F58" s="22">
        <f>E61</f>
        <v>23603</v>
      </c>
      <c r="G58" s="5" t="s">
        <v>293</v>
      </c>
    </row>
    <row r="59" spans="1:7" ht="15" customHeight="1" x14ac:dyDescent="0.2">
      <c r="A59" s="5" t="s">
        <v>294</v>
      </c>
      <c r="B59" s="26">
        <f>IF(B32=0,0,B28/B32)</f>
        <v>0</v>
      </c>
      <c r="C59" s="26">
        <f>IF(C32=0,0,C28/C32)</f>
        <v>0</v>
      </c>
      <c r="D59" s="26">
        <f>IF(D32=0,0,D28/D32)</f>
        <v>0</v>
      </c>
      <c r="E59" s="26">
        <f>IF(E32=0,0,E28/E32)</f>
        <v>0</v>
      </c>
      <c r="F59" s="26">
        <f>IF(F32=0,0,F28/F32)</f>
        <v>0</v>
      </c>
    </row>
    <row r="60" spans="1:7" ht="15" customHeight="1" x14ac:dyDescent="0.2">
      <c r="A60" s="5" t="s">
        <v>295</v>
      </c>
      <c r="B60" s="26">
        <f>IF(B32=0,0,B30/B32)</f>
        <v>0</v>
      </c>
      <c r="C60" s="26">
        <f>IF(C32=0,0,C30/C32)</f>
        <v>0</v>
      </c>
      <c r="D60" s="26">
        <f>IF(D32=0,0,D30/D32)</f>
        <v>0</v>
      </c>
      <c r="E60" s="26">
        <f>IF(E32=0,0,E30/E32)</f>
        <v>0</v>
      </c>
      <c r="F60" s="26">
        <f>IF(F32=0,0,F30/F32)</f>
        <v>0</v>
      </c>
    </row>
    <row r="61" spans="1:7" ht="15" customHeight="1" x14ac:dyDescent="0.2">
      <c r="A61" s="7" t="s">
        <v>296</v>
      </c>
      <c r="B61" s="26">
        <f>B58+B59-B60</f>
        <v>23603</v>
      </c>
      <c r="C61" s="26">
        <f>B61+C59-C60</f>
        <v>23603</v>
      </c>
      <c r="D61" s="26">
        <f>C61+D59-D60</f>
        <v>23603</v>
      </c>
      <c r="E61" s="26">
        <f>D61+E59-E60</f>
        <v>23603</v>
      </c>
      <c r="F61" s="26">
        <f>E61+F59-F60</f>
        <v>23603</v>
      </c>
      <c r="G61" t="s">
        <v>297</v>
      </c>
    </row>
    <row r="62" spans="1:7" ht="15" customHeight="1" x14ac:dyDescent="0.2">
      <c r="A62" s="5" t="s">
        <v>298</v>
      </c>
      <c r="B62" s="40">
        <v>3500</v>
      </c>
      <c r="C62" s="40">
        <v>3500</v>
      </c>
      <c r="D62" s="40">
        <v>3500</v>
      </c>
      <c r="E62" s="40">
        <v>3500</v>
      </c>
      <c r="F62" s="40">
        <v>3500</v>
      </c>
      <c r="G62" s="5" t="s">
        <v>299</v>
      </c>
    </row>
    <row r="63" spans="1:7" ht="15" customHeight="1" x14ac:dyDescent="0.2">
      <c r="A63" s="7" t="s">
        <v>300</v>
      </c>
      <c r="B63" s="22">
        <f>B61*B62/1000</f>
        <v>82610.5</v>
      </c>
      <c r="C63" s="22">
        <f>C61*C62/1000</f>
        <v>82610.5</v>
      </c>
      <c r="D63" s="22">
        <f>D61*D62/1000</f>
        <v>82610.5</v>
      </c>
      <c r="E63" s="22">
        <f>E61*E62/1000</f>
        <v>82610.5</v>
      </c>
      <c r="F63" s="22">
        <f>F61*F62/1000</f>
        <v>82610.5</v>
      </c>
    </row>
    <row r="64" spans="1:7" ht="15" customHeight="1" x14ac:dyDescent="0.2">
      <c r="A64" s="5" t="s">
        <v>301</v>
      </c>
      <c r="B64" s="40">
        <v>950</v>
      </c>
      <c r="C64" s="40">
        <v>950</v>
      </c>
      <c r="D64" s="40">
        <v>950</v>
      </c>
      <c r="E64" s="40">
        <v>950</v>
      </c>
      <c r="F64" s="40">
        <v>950</v>
      </c>
      <c r="G64" s="5" t="s">
        <v>302</v>
      </c>
    </row>
    <row r="65" spans="1:7" ht="15" customHeight="1" x14ac:dyDescent="0.2">
      <c r="A65" s="2" t="s">
        <v>303</v>
      </c>
    </row>
    <row r="66" spans="1:7" ht="15" customHeight="1" x14ac:dyDescent="0.2">
      <c r="A66" t="s">
        <v>44</v>
      </c>
      <c r="B66" s="41">
        <v>0.72</v>
      </c>
      <c r="C66" s="41">
        <v>0.72</v>
      </c>
      <c r="D66" s="41">
        <v>0.72</v>
      </c>
      <c r="E66" s="41">
        <v>0.72</v>
      </c>
      <c r="F66" s="41">
        <v>0.72</v>
      </c>
      <c r="G66" t="s">
        <v>304</v>
      </c>
    </row>
    <row r="67" spans="1:7" ht="15" customHeight="1" x14ac:dyDescent="0.2">
      <c r="A67" t="s">
        <v>305</v>
      </c>
      <c r="B67" s="39">
        <f>B30+B46</f>
        <v>0</v>
      </c>
      <c r="C67" s="39">
        <f>C30+C46</f>
        <v>0</v>
      </c>
      <c r="D67" s="39">
        <f>D30+D46</f>
        <v>0</v>
      </c>
      <c r="E67" s="39">
        <f>E30+E46</f>
        <v>0</v>
      </c>
      <c r="F67" s="39">
        <f>F30+F46</f>
        <v>0</v>
      </c>
    </row>
    <row r="68" spans="1:7" ht="15" customHeight="1" x14ac:dyDescent="0.2">
      <c r="A68" t="s">
        <v>306</v>
      </c>
      <c r="B68" s="37">
        <v>0.27</v>
      </c>
      <c r="C68" s="37">
        <f>B68</f>
        <v>0.27</v>
      </c>
      <c r="D68" s="37">
        <f>C68</f>
        <v>0.27</v>
      </c>
      <c r="E68" s="37">
        <f>D68</f>
        <v>0.27</v>
      </c>
      <c r="F68" s="37">
        <f>E68</f>
        <v>0.27</v>
      </c>
      <c r="G68" t="s">
        <v>307</v>
      </c>
    </row>
    <row r="69" spans="1:7" ht="15" customHeight="1" x14ac:dyDescent="0.2">
      <c r="A69" t="s">
        <v>308</v>
      </c>
      <c r="B69" s="41">
        <v>16.239999999999998</v>
      </c>
      <c r="C69" s="41">
        <v>16.239999999999998</v>
      </c>
      <c r="D69" s="41">
        <v>16.239999999999998</v>
      </c>
      <c r="E69" s="41">
        <v>16.239999999999998</v>
      </c>
      <c r="F69" s="41">
        <v>16.239999999999998</v>
      </c>
    </row>
    <row r="70" spans="1:7" ht="15" customHeight="1" x14ac:dyDescent="0.2">
      <c r="A70" t="s">
        <v>309</v>
      </c>
      <c r="B70" s="39">
        <v>124821</v>
      </c>
      <c r="C70" s="9">
        <f>B74</f>
        <v>126315.1627093596</v>
      </c>
      <c r="D70" s="9">
        <f>C74</f>
        <v>127827.21120878692</v>
      </c>
      <c r="E70" s="9">
        <f>D74</f>
        <v>129357.3595991187</v>
      </c>
      <c r="F70" s="9">
        <f>E74</f>
        <v>130905.82454407366</v>
      </c>
    </row>
    <row r="71" spans="1:7" ht="15" customHeight="1" x14ac:dyDescent="0.2">
      <c r="A71" t="s">
        <v>310</v>
      </c>
      <c r="B71" s="9">
        <f>B70*B66*B68/B69</f>
        <v>1494.1627093596062</v>
      </c>
      <c r="C71" s="9">
        <f>C70*C66*C68/C69</f>
        <v>1512.0484994273097</v>
      </c>
      <c r="D71" s="9">
        <f>D70*D66*D68/D69</f>
        <v>1530.1483903317844</v>
      </c>
      <c r="E71" s="9">
        <f>E70*E66*E68/E69</f>
        <v>1548.4649449549679</v>
      </c>
      <c r="F71" s="9">
        <f>F70*F66*F68/F69</f>
        <v>1567.0007568576307</v>
      </c>
    </row>
    <row r="72" spans="1:7" ht="15" customHeight="1" x14ac:dyDescent="0.2">
      <c r="A72" t="s">
        <v>311</v>
      </c>
      <c r="B72" s="9">
        <f>-B83/B69</f>
        <v>0</v>
      </c>
      <c r="C72" s="9">
        <f>-C83/C69</f>
        <v>0</v>
      </c>
      <c r="D72" s="9">
        <f>-D83/D69</f>
        <v>0</v>
      </c>
      <c r="E72" s="9">
        <f>-E83/E69</f>
        <v>0</v>
      </c>
      <c r="F72" s="9">
        <f>-F83/F69</f>
        <v>0</v>
      </c>
    </row>
    <row r="73" spans="1:7" ht="15" customHeight="1" x14ac:dyDescent="0.2">
      <c r="A73" t="s">
        <v>312</v>
      </c>
      <c r="B73" s="22">
        <f>B71-B72+IF(B28=0,0,B28*(1-B98)/B69)</f>
        <v>1494.1627093596062</v>
      </c>
      <c r="C73" s="22">
        <f>C71-C72+IF(C28=0,0,C28*(1-C98)/C69)</f>
        <v>1512.0484994273097</v>
      </c>
      <c r="D73" s="22">
        <f>D71-D72+IF(D28=0,0,D28*(1-D98)/D69)</f>
        <v>1530.1483903317844</v>
      </c>
      <c r="E73" s="22">
        <f>E71-E72+IF(E28=0,0,E28*(1-E98)/E69)</f>
        <v>1548.4649449549679</v>
      </c>
      <c r="F73" s="22">
        <f>F71-F72+IF(F28=0,0,F28*(1-F98)/F69)</f>
        <v>1567.0007568576307</v>
      </c>
    </row>
    <row r="74" spans="1:7" ht="15" customHeight="1" x14ac:dyDescent="0.2">
      <c r="A74" t="s">
        <v>313</v>
      </c>
      <c r="B74" s="9">
        <f>B70+B73</f>
        <v>126315.1627093596</v>
      </c>
      <c r="C74" s="9">
        <f>C70+C73</f>
        <v>127827.21120878692</v>
      </c>
      <c r="D74" s="9">
        <f>D70+D73</f>
        <v>129357.3595991187</v>
      </c>
      <c r="E74" s="9">
        <f>E70+E73</f>
        <v>130905.82454407366</v>
      </c>
      <c r="F74" s="9">
        <f>F70+F73</f>
        <v>132472.82530093129</v>
      </c>
    </row>
    <row r="75" spans="1:7" ht="15" customHeight="1" x14ac:dyDescent="0.2">
      <c r="A75" t="s">
        <v>41</v>
      </c>
      <c r="B75" s="9">
        <f>(B70+B74)/2</f>
        <v>125568.0813546798</v>
      </c>
      <c r="C75" s="9">
        <f>(C70+C74)/2</f>
        <v>127071.18695907327</v>
      </c>
      <c r="D75" s="9">
        <f>(D70+D74)/2</f>
        <v>128592.28540395282</v>
      </c>
      <c r="E75" s="9">
        <f>(E70+E74)/2</f>
        <v>130131.59207159618</v>
      </c>
      <c r="F75" s="9">
        <f>(F70+F74)/2</f>
        <v>131689.32492250248</v>
      </c>
    </row>
    <row r="77" spans="1:7" ht="15" customHeight="1" x14ac:dyDescent="0.2">
      <c r="A77" s="2" t="s">
        <v>314</v>
      </c>
    </row>
    <row r="78" spans="1:7" ht="15" customHeight="1" x14ac:dyDescent="0.2">
      <c r="A78" t="s">
        <v>54</v>
      </c>
      <c r="B78" s="9">
        <f>CFS!L20</f>
        <v>161858.58881552017</v>
      </c>
      <c r="C78" s="9">
        <f>CFS!M20</f>
        <v>169180.54256341228</v>
      </c>
      <c r="D78" s="9">
        <f>CFS!N20</f>
        <v>176874.46932759054</v>
      </c>
      <c r="E78" s="9">
        <f>CFS!O20</f>
        <v>185602.80184599158</v>
      </c>
      <c r="F78" s="9">
        <f>CFS!P20</f>
        <v>193851.62362895533</v>
      </c>
    </row>
    <row r="79" spans="1:7" ht="15" customHeight="1" x14ac:dyDescent="0.2">
      <c r="A79" t="s">
        <v>315</v>
      </c>
      <c r="B79" s="22">
        <f>-B63</f>
        <v>-82610.5</v>
      </c>
      <c r="C79" s="22">
        <f>-C63</f>
        <v>-82610.5</v>
      </c>
      <c r="D79" s="22">
        <f>-D63</f>
        <v>-82610.5</v>
      </c>
      <c r="E79" s="22">
        <f>-E63</f>
        <v>-82610.5</v>
      </c>
      <c r="F79" s="22">
        <f>-F63</f>
        <v>-82610.5</v>
      </c>
    </row>
    <row r="80" spans="1:7" ht="15" customHeight="1" x14ac:dyDescent="0.2">
      <c r="A80" s="5" t="s">
        <v>316</v>
      </c>
      <c r="B80" s="22">
        <f>-(B28-B30)*(1-B98)</f>
        <v>0</v>
      </c>
      <c r="C80" s="22">
        <f>-(C28-C30)*(1-C98)</f>
        <v>0</v>
      </c>
      <c r="D80" s="22">
        <f>-(D28-D30)*(1-D98)</f>
        <v>0</v>
      </c>
      <c r="E80" s="22">
        <f>-(E28-E30)*(1-E98)</f>
        <v>0</v>
      </c>
      <c r="F80" s="22">
        <f>-(F28-F30)*(1-F98)</f>
        <v>0</v>
      </c>
    </row>
    <row r="81" spans="1:7" ht="15" customHeight="1" x14ac:dyDescent="0.2">
      <c r="A81" t="s">
        <v>317</v>
      </c>
      <c r="B81" s="9">
        <f>-B70*B66*(1-B68)</f>
        <v>-65605.917600000001</v>
      </c>
      <c r="C81" s="9">
        <f>-C70*C66*(1-C68)</f>
        <v>-66391.249520039404</v>
      </c>
      <c r="D81" s="9">
        <f>-D70*D66*(1-D68)</f>
        <v>-67185.9822113384</v>
      </c>
      <c r="E81" s="9">
        <f>-E70*E66*(1-E68)</f>
        <v>-67990.228205296778</v>
      </c>
      <c r="F81" s="9">
        <f>-F70*F66*(1-F68)</f>
        <v>-68804.101380365115</v>
      </c>
    </row>
    <row r="82" spans="1:7" ht="15" customHeight="1" x14ac:dyDescent="0.2">
      <c r="A82" t="s">
        <v>318</v>
      </c>
      <c r="B82" s="9">
        <f>-B45</f>
        <v>-67000</v>
      </c>
      <c r="C82" s="9">
        <f>-C45</f>
        <v>-67000</v>
      </c>
      <c r="D82" s="9">
        <f>-D45</f>
        <v>-67000</v>
      </c>
      <c r="E82" s="9">
        <f>-E45</f>
        <v>-67000</v>
      </c>
      <c r="F82" s="9">
        <f>-F45</f>
        <v>-67000</v>
      </c>
    </row>
    <row r="83" spans="1:7" ht="15" customHeight="1" x14ac:dyDescent="0.2">
      <c r="A83" t="s">
        <v>319</v>
      </c>
      <c r="B83" s="9">
        <f>-MIN(B67,MAX(0,SUM(B78:B82)))</f>
        <v>0</v>
      </c>
      <c r="C83" s="9">
        <f>-MIN(C67,MAX(0,SUM(C78:C82)))</f>
        <v>0</v>
      </c>
      <c r="D83" s="9">
        <f>-MIN(D67,MAX(0,SUM(D78:D82)))</f>
        <v>0</v>
      </c>
      <c r="E83" s="9">
        <f>-MIN(E67,MAX(0,SUM(E78:E82)))</f>
        <v>0</v>
      </c>
      <c r="F83" s="9">
        <f>-MIN(F67,MAX(0,SUM(F78:F82)))</f>
        <v>0</v>
      </c>
      <c r="G83" t="s">
        <v>320</v>
      </c>
    </row>
    <row r="84" spans="1:7" ht="15" customHeight="1" x14ac:dyDescent="0.2">
      <c r="A84" t="s">
        <v>321</v>
      </c>
      <c r="B84" s="9">
        <f>SUM(B78:B83)</f>
        <v>-53357.828784479832</v>
      </c>
      <c r="C84" s="9">
        <f>SUM(C78:C83)</f>
        <v>-46821.206956627124</v>
      </c>
      <c r="D84" s="9">
        <f>SUM(D78:D83)</f>
        <v>-39922.012883747855</v>
      </c>
      <c r="E84" s="9">
        <f>SUM(E78:E83)</f>
        <v>-31997.926359305202</v>
      </c>
      <c r="F84" s="9">
        <f>SUM(F78:F83)</f>
        <v>-24562.97775140978</v>
      </c>
    </row>
    <row r="85" spans="1:7" ht="15" customHeight="1" x14ac:dyDescent="0.2">
      <c r="A85" t="s">
        <v>322</v>
      </c>
      <c r="B85" s="9">
        <f>-B84</f>
        <v>53357.828784479832</v>
      </c>
      <c r="C85" s="9">
        <f>-C84</f>
        <v>46821.206956627124</v>
      </c>
      <c r="D85" s="9">
        <f>-D84</f>
        <v>39922.012883747855</v>
      </c>
      <c r="E85" s="9">
        <f>-E84</f>
        <v>31997.926359305202</v>
      </c>
      <c r="F85" s="9">
        <f>-F84</f>
        <v>24562.97775140978</v>
      </c>
    </row>
    <row r="86" spans="1:7" ht="15" customHeight="1" x14ac:dyDescent="0.2">
      <c r="A86" t="s">
        <v>286</v>
      </c>
      <c r="B86" s="9">
        <f>74754+B85</f>
        <v>128111.82878447983</v>
      </c>
      <c r="C86" s="9">
        <f>B86+C85</f>
        <v>174933.03574110696</v>
      </c>
      <c r="D86" s="9">
        <f>C86+D85</f>
        <v>214855.04862485483</v>
      </c>
      <c r="E86" s="9">
        <f>D86+E85</f>
        <v>246852.97498416004</v>
      </c>
      <c r="F86" s="9">
        <f>E86+F85</f>
        <v>271415.95273556979</v>
      </c>
    </row>
    <row r="88" spans="1:7" ht="15" customHeight="1" x14ac:dyDescent="0.2">
      <c r="A88" s="2" t="s">
        <v>323</v>
      </c>
    </row>
    <row r="89" spans="1:7" ht="15" customHeight="1" x14ac:dyDescent="0.2">
      <c r="A89" t="s">
        <v>324</v>
      </c>
      <c r="B89" s="37">
        <v>0.05</v>
      </c>
      <c r="C89" s="37">
        <v>0.05</v>
      </c>
      <c r="D89" s="37">
        <v>0.05</v>
      </c>
      <c r="E89" s="37">
        <v>0.05</v>
      </c>
      <c r="F89" s="37">
        <v>0.05</v>
      </c>
    </row>
    <row r="90" spans="1:7" ht="15" customHeight="1" x14ac:dyDescent="0.2">
      <c r="A90" s="5" t="s">
        <v>325</v>
      </c>
      <c r="B90" s="42">
        <v>4.6800000000000001E-2</v>
      </c>
      <c r="C90" s="42">
        <v>4.6800000000000001E-2</v>
      </c>
      <c r="D90" s="42">
        <v>4.6800000000000001E-2</v>
      </c>
      <c r="E90" s="42">
        <v>4.6800000000000001E-2</v>
      </c>
      <c r="F90" s="42">
        <v>4.6800000000000001E-2</v>
      </c>
      <c r="G90" s="5" t="s">
        <v>326</v>
      </c>
    </row>
    <row r="91" spans="1:7" ht="15" customHeight="1" x14ac:dyDescent="0.2">
      <c r="A91" t="s">
        <v>327</v>
      </c>
      <c r="B91" s="37">
        <v>0.05</v>
      </c>
      <c r="C91" s="37">
        <v>0.05</v>
      </c>
      <c r="D91" s="37">
        <v>0.05</v>
      </c>
      <c r="E91" s="37">
        <v>0.05</v>
      </c>
      <c r="F91" s="37">
        <v>0.05</v>
      </c>
    </row>
    <row r="92" spans="1:7" ht="15" customHeight="1" x14ac:dyDescent="0.2">
      <c r="A92" t="s">
        <v>328</v>
      </c>
      <c r="B92" s="41">
        <v>16.239999999999998</v>
      </c>
      <c r="C92" s="41">
        <v>19.48</v>
      </c>
      <c r="D92" s="41">
        <v>19.48</v>
      </c>
      <c r="E92" s="41">
        <v>19.48</v>
      </c>
      <c r="F92" s="41">
        <v>19.48</v>
      </c>
    </row>
    <row r="93" spans="1:7" ht="15" customHeight="1" x14ac:dyDescent="0.2">
      <c r="A93" t="s">
        <v>329</v>
      </c>
      <c r="B93" s="37">
        <v>3.5000000000000003E-2</v>
      </c>
      <c r="C93" s="37">
        <v>3.5000000000000003E-2</v>
      </c>
      <c r="D93" s="37">
        <v>3.5000000000000003E-2</v>
      </c>
      <c r="E93" s="37">
        <v>3.5000000000000003E-2</v>
      </c>
      <c r="F93" s="37">
        <v>3.5000000000000003E-2</v>
      </c>
    </row>
    <row r="95" spans="1:7" ht="15" customHeight="1" x14ac:dyDescent="0.2">
      <c r="A95" s="2" t="s">
        <v>330</v>
      </c>
    </row>
    <row r="96" spans="1:7" ht="15" customHeight="1" x14ac:dyDescent="0.2">
      <c r="A96" t="s">
        <v>331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</row>
    <row r="97" spans="1:7" ht="15" customHeight="1" x14ac:dyDescent="0.2">
      <c r="A97" t="s">
        <v>332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</row>
    <row r="98" spans="1:7" ht="15" customHeight="1" x14ac:dyDescent="0.2">
      <c r="A98" t="s">
        <v>333</v>
      </c>
      <c r="B98" s="37">
        <v>0.5</v>
      </c>
      <c r="C98" s="37">
        <v>0.5</v>
      </c>
      <c r="D98" s="37">
        <v>0.5</v>
      </c>
      <c r="E98" s="37">
        <v>0.5</v>
      </c>
      <c r="F98" s="37">
        <v>0.5</v>
      </c>
    </row>
    <row r="99" spans="1:7" ht="15" customHeight="1" x14ac:dyDescent="0.2">
      <c r="A99" t="s">
        <v>334</v>
      </c>
      <c r="B99" s="37">
        <v>0.65</v>
      </c>
      <c r="C99" s="37">
        <v>0.65</v>
      </c>
      <c r="D99" s="37">
        <v>0.65</v>
      </c>
      <c r="E99" s="37">
        <v>0.65</v>
      </c>
      <c r="F99" s="37">
        <v>0.65</v>
      </c>
    </row>
    <row r="101" spans="1:7" ht="15" customHeight="1" x14ac:dyDescent="0.2">
      <c r="A101" s="18" t="s">
        <v>335</v>
      </c>
    </row>
    <row r="102" spans="1:7" ht="15" customHeight="1" x14ac:dyDescent="0.2">
      <c r="A102" t="s">
        <v>336</v>
      </c>
      <c r="B102" s="39">
        <v>383401</v>
      </c>
      <c r="C102" s="9">
        <f>B104</f>
        <v>394553.17658750003</v>
      </c>
      <c r="D102" s="9">
        <f>C104</f>
        <v>406029.74211148894</v>
      </c>
      <c r="E102" s="9">
        <f>D104</f>
        <v>417840.1322351569</v>
      </c>
      <c r="F102" s="9">
        <f>E104</f>
        <v>429994.05708154704</v>
      </c>
    </row>
    <row r="103" spans="1:7" ht="15" customHeight="1" x14ac:dyDescent="0.2">
      <c r="A103" s="5" t="s">
        <v>337</v>
      </c>
      <c r="B103" s="9">
        <f>B102*B8</f>
        <v>11152.1765875</v>
      </c>
      <c r="C103" s="9">
        <f>C102*C8</f>
        <v>11476.565523988907</v>
      </c>
      <c r="D103" s="9">
        <f>D102*D8</f>
        <v>11810.390123667934</v>
      </c>
      <c r="E103" s="9">
        <f>E102*E8</f>
        <v>12153.924846390126</v>
      </c>
      <c r="F103" s="9">
        <f>F102*F8</f>
        <v>12507.452135359499</v>
      </c>
    </row>
    <row r="104" spans="1:7" ht="15" customHeight="1" x14ac:dyDescent="0.2">
      <c r="A104" t="s">
        <v>338</v>
      </c>
      <c r="B104" s="9">
        <f>B102+B103</f>
        <v>394553.17658750003</v>
      </c>
      <c r="C104" s="9">
        <f>C102+C103</f>
        <v>406029.74211148894</v>
      </c>
      <c r="D104" s="9">
        <f>D102+D103</f>
        <v>417840.1322351569</v>
      </c>
      <c r="E104" s="9">
        <f>E102+E103</f>
        <v>429994.05708154704</v>
      </c>
      <c r="F104" s="9">
        <f>F102+F103</f>
        <v>442501.50921690656</v>
      </c>
    </row>
    <row r="106" spans="1:7" ht="15" customHeight="1" x14ac:dyDescent="0.2">
      <c r="A106" t="s">
        <v>339</v>
      </c>
      <c r="B106" s="39">
        <v>128573</v>
      </c>
      <c r="C106" s="9">
        <f>B107</f>
        <v>132301.617</v>
      </c>
      <c r="D106" s="9">
        <f>C107</f>
        <v>136138.363893</v>
      </c>
      <c r="E106" s="9">
        <f>D107</f>
        <v>140086.37644589698</v>
      </c>
      <c r="F106" s="9">
        <f>E107</f>
        <v>144148.88136282799</v>
      </c>
    </row>
    <row r="107" spans="1:7" ht="15" customHeight="1" x14ac:dyDescent="0.2">
      <c r="A107" t="s">
        <v>340</v>
      </c>
      <c r="B107" s="9">
        <f>B106*(1+B20)</f>
        <v>132301.617</v>
      </c>
      <c r="C107" s="9">
        <f>C106*(1+C20)</f>
        <v>136138.363893</v>
      </c>
      <c r="D107" s="9">
        <f>D106*(1+D20)</f>
        <v>140086.37644589698</v>
      </c>
      <c r="E107" s="9">
        <f>E106*(1+E20)</f>
        <v>144148.88136282799</v>
      </c>
      <c r="F107" s="9">
        <f>F106*(1+F20)</f>
        <v>148329.19892234998</v>
      </c>
    </row>
    <row r="108" spans="1:7" ht="15" customHeight="1" x14ac:dyDescent="0.2">
      <c r="A108" s="18" t="s">
        <v>341</v>
      </c>
      <c r="G108" s="5" t="s">
        <v>342</v>
      </c>
    </row>
    <row r="109" spans="1:7" ht="15" customHeight="1" x14ac:dyDescent="0.2">
      <c r="A109" s="5" t="s">
        <v>343</v>
      </c>
      <c r="B109" s="11">
        <f>IS!K18</f>
        <v>254828</v>
      </c>
      <c r="C109" s="22">
        <f>B114+B112+B113</f>
        <v>262251.55958750006</v>
      </c>
      <c r="D109" s="22">
        <f>C114+C112+C113</f>
        <v>269891.37821848894</v>
      </c>
      <c r="E109" s="22">
        <f>D114+D112+D113</f>
        <v>277753.75578925991</v>
      </c>
      <c r="F109" s="22">
        <f>E114+E112+E113</f>
        <v>285845.17571871902</v>
      </c>
      <c r="G109" s="5" t="s">
        <v>344</v>
      </c>
    </row>
    <row r="110" spans="1:7" ht="15" customHeight="1" x14ac:dyDescent="0.2">
      <c r="A110" s="5" t="s">
        <v>86</v>
      </c>
      <c r="B110" s="15">
        <f>B23</f>
        <v>2.9131647964509622E-2</v>
      </c>
      <c r="C110" s="15">
        <f>C23</f>
        <v>2.9131642317039796E-2</v>
      </c>
      <c r="D110" s="15">
        <f>D23</f>
        <v>2.9131636670534977E-2</v>
      </c>
      <c r="E110" s="15">
        <f>E23</f>
        <v>2.9131631024994276E-2</v>
      </c>
      <c r="F110" s="15">
        <f>F23</f>
        <v>2.9131625380418136E-2</v>
      </c>
    </row>
    <row r="111" spans="1:7" ht="15" customHeight="1" x14ac:dyDescent="0.2">
      <c r="A111" s="5" t="s">
        <v>345</v>
      </c>
      <c r="B111" s="22">
        <f>B109*(1+B110)</f>
        <v>262251.55958750006</v>
      </c>
      <c r="C111" s="22">
        <f>C109*(1+C110)</f>
        <v>269891.37821848894</v>
      </c>
      <c r="D111" s="22">
        <f>D109*(1+D110)</f>
        <v>277753.75578925991</v>
      </c>
      <c r="E111" s="22">
        <f>E109*(1+E110)</f>
        <v>285845.17571871902</v>
      </c>
      <c r="F111" s="22">
        <f>F109*(1+F110)</f>
        <v>294172.31029455655</v>
      </c>
    </row>
    <row r="112" spans="1:7" ht="15" customHeight="1" x14ac:dyDescent="0.2">
      <c r="A112" s="5" t="s">
        <v>346</v>
      </c>
      <c r="B112" s="22">
        <f>B28*B29*0.5</f>
        <v>0</v>
      </c>
      <c r="C112" s="22">
        <f>C28*C29*0.5</f>
        <v>0</v>
      </c>
      <c r="D112" s="22">
        <f>D28*D29*0.5</f>
        <v>0</v>
      </c>
      <c r="E112" s="22">
        <f>E28*E29*0.5</f>
        <v>0</v>
      </c>
      <c r="F112" s="22">
        <f>F28*F29*0.5</f>
        <v>0</v>
      </c>
    </row>
    <row r="113" spans="1:7" ht="15" customHeight="1" x14ac:dyDescent="0.2">
      <c r="A113" s="5" t="s">
        <v>347</v>
      </c>
      <c r="B113" s="22">
        <f>-B30*B31*0.5</f>
        <v>0</v>
      </c>
      <c r="C113" s="22">
        <f>-C30*C31*0.5</f>
        <v>0</v>
      </c>
      <c r="D113" s="22">
        <f>-D30*D31*0.5</f>
        <v>0</v>
      </c>
      <c r="E113" s="22">
        <f>-E30*E31*0.5</f>
        <v>0</v>
      </c>
      <c r="F113" s="22">
        <f>-F30*F31*0.5</f>
        <v>0</v>
      </c>
    </row>
    <row r="114" spans="1:7" ht="15" customHeight="1" x14ac:dyDescent="0.2">
      <c r="A114" s="7" t="s">
        <v>348</v>
      </c>
      <c r="B114" s="13">
        <f>B111+B112+B113</f>
        <v>262251.55958750006</v>
      </c>
      <c r="C114" s="13">
        <f>C111+C112+C113</f>
        <v>269891.37821848894</v>
      </c>
      <c r="D114" s="13">
        <f>D111+D112+D113</f>
        <v>277753.75578925991</v>
      </c>
      <c r="E114" s="13">
        <f>E111+E112+E113</f>
        <v>285845.17571871902</v>
      </c>
      <c r="F114" s="13">
        <f>F111+F112+F113</f>
        <v>294172.31029455655</v>
      </c>
    </row>
    <row r="115" spans="1:7" ht="15" customHeight="1" x14ac:dyDescent="0.2">
      <c r="A115" s="7"/>
      <c r="B115" s="11"/>
      <c r="C115" s="11"/>
      <c r="D115" s="11"/>
      <c r="E115" s="11"/>
      <c r="F115" s="11"/>
    </row>
    <row r="116" spans="1:7" ht="15" customHeight="1" x14ac:dyDescent="0.2">
      <c r="A116" s="18" t="s">
        <v>349</v>
      </c>
      <c r="B116" s="16"/>
      <c r="C116" s="16"/>
      <c r="D116" s="16"/>
      <c r="E116" s="16"/>
      <c r="F116" s="16"/>
    </row>
    <row r="117" spans="1:7" ht="15" customHeight="1" x14ac:dyDescent="0.2">
      <c r="A117" s="5" t="s">
        <v>35</v>
      </c>
      <c r="B117" s="43">
        <f>IS!K45</f>
        <v>0.66465137023638432</v>
      </c>
      <c r="C117" s="43">
        <f>IS!K45</f>
        <v>0.66465137023638432</v>
      </c>
      <c r="D117" s="43">
        <f>IS!K45</f>
        <v>0.66465137023638432</v>
      </c>
      <c r="E117" s="43">
        <f>IS!K45</f>
        <v>0.66465137023638432</v>
      </c>
      <c r="F117" s="43">
        <f>IS!K45</f>
        <v>0.66465137023638432</v>
      </c>
      <c r="G117" s="5" t="s">
        <v>350</v>
      </c>
    </row>
    <row r="118" spans="1:7" ht="15" customHeight="1" x14ac:dyDescent="0.2">
      <c r="A118" s="5" t="s">
        <v>351</v>
      </c>
      <c r="B118" s="22">
        <f>IF(B117=0,0,B114/B117)</f>
        <v>394570.10296124098</v>
      </c>
      <c r="C118" s="22">
        <f>IF(C117=0,0,C114/C117)</f>
        <v>406064.5780697054</v>
      </c>
      <c r="D118" s="22">
        <f>IF(D117=0,0,D114/D117)</f>
        <v>417893.90382280614</v>
      </c>
      <c r="E118" s="22">
        <f>IF(E117=0,0,E114/E117)</f>
        <v>430067.83483656665</v>
      </c>
      <c r="F118" s="22">
        <f>IF(F117=0,0,F114/F117)</f>
        <v>442596.40988919302</v>
      </c>
    </row>
    <row r="119" spans="1:7" ht="15" customHeight="1" x14ac:dyDescent="0.2">
      <c r="A119" s="5" t="s">
        <v>352</v>
      </c>
      <c r="B119" s="22">
        <f>B118-B114</f>
        <v>132318.54337374092</v>
      </c>
      <c r="C119" s="22">
        <f>C118-C114</f>
        <v>136173.19985121646</v>
      </c>
      <c r="D119" s="22">
        <f>D118-D114</f>
        <v>140140.14803354623</v>
      </c>
      <c r="E119" s="22">
        <f>E118-E114</f>
        <v>144222.65911784762</v>
      </c>
      <c r="F119" s="22">
        <f>F118-F114</f>
        <v>148424.09959463647</v>
      </c>
    </row>
    <row r="120" spans="1:7" ht="15" customHeight="1" x14ac:dyDescent="0.2">
      <c r="A120" s="2" t="s">
        <v>353</v>
      </c>
    </row>
    <row r="121" spans="1:7" ht="15" customHeight="1" x14ac:dyDescent="0.2">
      <c r="A121" t="s">
        <v>354</v>
      </c>
      <c r="B121" s="37">
        <v>0.15</v>
      </c>
      <c r="C121" s="37">
        <v>0.15</v>
      </c>
      <c r="D121" s="37">
        <v>0.15</v>
      </c>
      <c r="E121" s="37">
        <v>0.15</v>
      </c>
      <c r="F121" s="37">
        <v>0.15</v>
      </c>
      <c r="G121" t="s">
        <v>355</v>
      </c>
    </row>
    <row r="122" spans="1:7" ht="15" customHeight="1" x14ac:dyDescent="0.2">
      <c r="A122" t="s">
        <v>356</v>
      </c>
      <c r="B122" s="9">
        <f>IS!L18*B121</f>
        <v>39337.733938125006</v>
      </c>
      <c r="C122" s="9">
        <f>IS!M18*C121</f>
        <v>40483.706732773338</v>
      </c>
      <c r="D122" s="9">
        <f>IS!N18*D121</f>
        <v>41663.063368388983</v>
      </c>
      <c r="E122" s="9">
        <f>IS!O18*E121</f>
        <v>42876.776357807852</v>
      </c>
      <c r="F122" s="9">
        <f>IS!P18*F121</f>
        <v>44125.846544183478</v>
      </c>
    </row>
    <row r="126" spans="1:7" ht="15" customHeight="1" x14ac:dyDescent="0.2">
      <c r="A126" s="2" t="s">
        <v>357</v>
      </c>
    </row>
    <row r="127" spans="1:7" ht="15" customHeight="1" x14ac:dyDescent="0.2">
      <c r="A127" t="s">
        <v>358</v>
      </c>
      <c r="B127" s="39">
        <v>200000</v>
      </c>
      <c r="C127" s="39">
        <v>200000</v>
      </c>
      <c r="D127" s="39">
        <v>200000</v>
      </c>
      <c r="E127" s="39">
        <v>200000</v>
      </c>
      <c r="F127" s="39">
        <v>200000</v>
      </c>
    </row>
    <row r="128" spans="1:7" ht="15" customHeight="1" x14ac:dyDescent="0.2">
      <c r="A128" t="s">
        <v>359</v>
      </c>
      <c r="B128" s="9">
        <f>B86</f>
        <v>128111.82878447983</v>
      </c>
      <c r="C128" s="9">
        <f>C86</f>
        <v>174933.03574110696</v>
      </c>
      <c r="D128" s="9">
        <f>D86</f>
        <v>214855.04862485483</v>
      </c>
      <c r="E128" s="9">
        <f>E86</f>
        <v>246852.97498416004</v>
      </c>
      <c r="F128" s="9">
        <f>F86</f>
        <v>271415.95273556979</v>
      </c>
    </row>
    <row r="129" spans="1:6" ht="15" customHeight="1" x14ac:dyDescent="0.2">
      <c r="A129" t="s">
        <v>360</v>
      </c>
      <c r="B129" s="9">
        <f>B127-B128</f>
        <v>71888.171215520168</v>
      </c>
      <c r="C129" s="9">
        <f>C127-C128</f>
        <v>25066.964258893044</v>
      </c>
      <c r="D129" s="9">
        <f>D127-D128</f>
        <v>-14855.048624854826</v>
      </c>
      <c r="E129" s="9">
        <f>E127-E128</f>
        <v>-46852.974984160042</v>
      </c>
      <c r="F129" s="9">
        <f>F127-F128</f>
        <v>-71415.952735569794</v>
      </c>
    </row>
    <row r="130" spans="1:6" ht="15" customHeight="1" x14ac:dyDescent="0.2">
      <c r="A130" t="s">
        <v>361</v>
      </c>
      <c r="B130" t="str">
        <f>IF(B129&lt;0,"BREACH","OK")</f>
        <v>OK</v>
      </c>
      <c r="C130" t="str">
        <f>IF(C129&lt;0,"BREACH","OK")</f>
        <v>OK</v>
      </c>
      <c r="D130" t="str">
        <f>IF(D129&lt;0,"BREACH","OK")</f>
        <v>BREACH</v>
      </c>
      <c r="E130" t="str">
        <f>IF(E129&lt;0,"BREACH","OK")</f>
        <v>BREACH</v>
      </c>
      <c r="F130" t="str">
        <f>IF(F129&lt;0,"BREACH","OK")</f>
        <v>BREACH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9"/>
  <sheetViews>
    <sheetView showGridLines="0" zoomScaleNormal="100" workbookViewId="0"/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t="s">
        <v>233</v>
      </c>
    </row>
    <row r="2" spans="1:16" ht="15" customHeight="1" x14ac:dyDescent="0.2">
      <c r="A2" t="s">
        <v>362</v>
      </c>
    </row>
    <row r="3" spans="1:16" ht="15" customHeight="1" x14ac:dyDescent="0.2">
      <c r="A3" t="s">
        <v>363</v>
      </c>
    </row>
    <row r="5" spans="1:16" ht="1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7" spans="1:16" ht="15" customHeight="1" x14ac:dyDescent="0.2">
      <c r="A7" s="2" t="s">
        <v>364</v>
      </c>
    </row>
    <row r="8" spans="1:16" ht="15" customHeight="1" x14ac:dyDescent="0.2">
      <c r="A8" t="s">
        <v>365</v>
      </c>
      <c r="B8" s="39">
        <v>76000</v>
      </c>
      <c r="C8" s="39">
        <v>85000</v>
      </c>
      <c r="D8" s="39">
        <v>98000</v>
      </c>
      <c r="E8" s="39">
        <v>105000</v>
      </c>
      <c r="F8" s="39">
        <v>116000</v>
      </c>
      <c r="G8" s="39">
        <v>132000</v>
      </c>
      <c r="H8" s="39">
        <v>148000</v>
      </c>
      <c r="I8" s="39">
        <v>160000</v>
      </c>
      <c r="J8" s="39">
        <v>172000</v>
      </c>
      <c r="K8" s="39">
        <v>186000</v>
      </c>
    </row>
    <row r="9" spans="1:16" ht="15" customHeight="1" x14ac:dyDescent="0.2">
      <c r="A9" t="s">
        <v>366</v>
      </c>
      <c r="B9" s="39">
        <v>12000</v>
      </c>
      <c r="C9" s="39">
        <v>14571</v>
      </c>
      <c r="D9" s="39">
        <v>18000</v>
      </c>
      <c r="E9" s="39">
        <v>21593</v>
      </c>
      <c r="F9" s="39">
        <v>23739</v>
      </c>
      <c r="G9" s="39">
        <v>27744</v>
      </c>
      <c r="H9" s="39">
        <v>28615</v>
      </c>
      <c r="I9" s="39">
        <v>42000</v>
      </c>
      <c r="J9" s="39">
        <v>46345</v>
      </c>
      <c r="K9" s="39">
        <v>54639</v>
      </c>
    </row>
    <row r="10" spans="1:16" ht="15" customHeight="1" x14ac:dyDescent="0.2">
      <c r="A10" t="s">
        <v>367</v>
      </c>
      <c r="B10" s="9">
        <f t="shared" ref="B10:K10" si="0">B8+B9</f>
        <v>88000</v>
      </c>
      <c r="C10" s="9">
        <f t="shared" si="0"/>
        <v>99571</v>
      </c>
      <c r="D10" s="9">
        <f t="shared" si="0"/>
        <v>116000</v>
      </c>
      <c r="E10" s="9">
        <f t="shared" si="0"/>
        <v>126593</v>
      </c>
      <c r="F10" s="9">
        <f t="shared" si="0"/>
        <v>139739</v>
      </c>
      <c r="G10" s="9">
        <f t="shared" si="0"/>
        <v>159744</v>
      </c>
      <c r="H10" s="9">
        <f t="shared" si="0"/>
        <v>176615</v>
      </c>
      <c r="I10" s="9">
        <f t="shared" si="0"/>
        <v>202000</v>
      </c>
      <c r="J10" s="9">
        <f t="shared" si="0"/>
        <v>218345</v>
      </c>
      <c r="K10" s="9">
        <f t="shared" si="0"/>
        <v>240639</v>
      </c>
    </row>
    <row r="11" spans="1:16" ht="15" customHeight="1" x14ac:dyDescent="0.2">
      <c r="A11" t="s">
        <v>368</v>
      </c>
      <c r="B11" s="9">
        <f>IS!B18-B10</f>
        <v>17424</v>
      </c>
      <c r="C11" s="9">
        <f>IS!C18-C10</f>
        <v>15649</v>
      </c>
      <c r="D11" s="9">
        <f>IS!D18-D10</f>
        <v>19712</v>
      </c>
      <c r="E11" s="9">
        <f>IS!E18-E10</f>
        <v>25743</v>
      </c>
      <c r="F11" s="9">
        <f>IS!F18-F10</f>
        <v>24923</v>
      </c>
      <c r="G11" s="9">
        <f>IS!G18-G10</f>
        <v>23491</v>
      </c>
      <c r="H11" s="9">
        <f>IS!H18-H10</f>
        <v>30297</v>
      </c>
      <c r="I11" s="9">
        <f>IS!I18-I10</f>
        <v>22043</v>
      </c>
      <c r="J11" s="9">
        <f>IS!J18-J10</f>
        <v>22136</v>
      </c>
      <c r="K11" s="9">
        <f>IS!K18-K10</f>
        <v>14189</v>
      </c>
    </row>
    <row r="12" spans="1:16" ht="15" customHeight="1" x14ac:dyDescent="0.2">
      <c r="A12" s="2" t="s">
        <v>369</v>
      </c>
    </row>
    <row r="13" spans="1:16" ht="15" customHeight="1" x14ac:dyDescent="0.2">
      <c r="A13" t="s">
        <v>370</v>
      </c>
      <c r="B13" s="39">
        <v>97729</v>
      </c>
      <c r="C13" s="39">
        <v>104595</v>
      </c>
      <c r="D13" s="39">
        <v>112846</v>
      </c>
      <c r="E13" s="39">
        <v>126485</v>
      </c>
      <c r="F13" s="39">
        <v>147372</v>
      </c>
      <c r="G13" s="39">
        <v>165112</v>
      </c>
      <c r="H13" s="39">
        <v>182318</v>
      </c>
      <c r="I13" s="39">
        <v>205942</v>
      </c>
      <c r="J13" s="39">
        <v>230328</v>
      </c>
      <c r="K13" s="39">
        <v>238991</v>
      </c>
    </row>
    <row r="14" spans="1:16" ht="15" customHeight="1" x14ac:dyDescent="0.2">
      <c r="A14" t="s">
        <v>371</v>
      </c>
      <c r="B14" s="37">
        <v>0.04</v>
      </c>
      <c r="C14" s="37">
        <v>3.5999999999999997E-2</v>
      </c>
      <c r="D14" s="37">
        <v>4.8000000000000001E-2</v>
      </c>
      <c r="E14" s="37">
        <v>4.1000000000000002E-2</v>
      </c>
      <c r="F14" s="37">
        <v>2.3E-2</v>
      </c>
      <c r="G14" s="37">
        <v>5.0999999999999997E-2</v>
      </c>
      <c r="H14" s="37">
        <v>4.7E-2</v>
      </c>
      <c r="I14" s="37">
        <v>7.8E-2</v>
      </c>
      <c r="J14" s="37">
        <v>8.3000000000000004E-2</v>
      </c>
      <c r="K14" s="37">
        <v>6.0999999999999999E-2</v>
      </c>
    </row>
    <row r="18" spans="1:16" ht="15" customHeight="1" x14ac:dyDescent="0.2">
      <c r="A18" s="2" t="s">
        <v>372</v>
      </c>
    </row>
    <row r="19" spans="1:16" ht="15" customHeight="1" x14ac:dyDescent="0.2">
      <c r="A19" t="s">
        <v>373</v>
      </c>
      <c r="B19" s="37">
        <v>0.95799999999999996</v>
      </c>
      <c r="C19" s="37">
        <v>0.96299999999999997</v>
      </c>
      <c r="D19" s="37">
        <v>0.96299999999999997</v>
      </c>
      <c r="E19" s="37">
        <v>0.97</v>
      </c>
      <c r="F19" s="37">
        <v>0.96499999999999997</v>
      </c>
      <c r="G19" s="37">
        <v>0.96599999999999997</v>
      </c>
      <c r="H19" s="37">
        <v>0.97299999999999998</v>
      </c>
      <c r="I19" s="37">
        <v>0.97399999999999998</v>
      </c>
      <c r="J19" s="37">
        <v>0.96799999999999997</v>
      </c>
      <c r="K19" s="37">
        <v>0.96599999999999997</v>
      </c>
    </row>
    <row r="20" spans="1:16" ht="15" customHeight="1" x14ac:dyDescent="0.2">
      <c r="A20" t="s">
        <v>374</v>
      </c>
      <c r="B20" s="38">
        <v>973</v>
      </c>
      <c r="C20" s="38">
        <v>1018</v>
      </c>
      <c r="D20" s="38">
        <v>1076</v>
      </c>
      <c r="E20" s="38">
        <v>1126</v>
      </c>
      <c r="F20" s="38">
        <v>1184</v>
      </c>
      <c r="G20" s="38">
        <v>1227</v>
      </c>
      <c r="H20" s="38">
        <v>1289</v>
      </c>
      <c r="I20" s="38">
        <v>1384</v>
      </c>
      <c r="J20" s="38">
        <v>1493</v>
      </c>
      <c r="K20" s="38">
        <v>1600</v>
      </c>
    </row>
    <row r="22" spans="1:16" ht="15" customHeight="1" x14ac:dyDescent="0.2">
      <c r="A22" t="s">
        <v>375</v>
      </c>
    </row>
    <row r="23" spans="1:16" ht="15" customHeight="1" x14ac:dyDescent="0.2">
      <c r="A23" t="s">
        <v>376</v>
      </c>
    </row>
    <row r="24" spans="1:16" ht="15" customHeight="1" x14ac:dyDescent="0.2">
      <c r="A24" t="s">
        <v>377</v>
      </c>
    </row>
    <row r="25" spans="1:16" ht="15" customHeight="1" x14ac:dyDescent="0.2">
      <c r="A25" t="s">
        <v>378</v>
      </c>
      <c r="B25" s="37">
        <v>0</v>
      </c>
      <c r="C25" s="37">
        <v>0.35</v>
      </c>
      <c r="D25" s="37">
        <v>0.32</v>
      </c>
      <c r="E25" s="37">
        <v>0.31</v>
      </c>
      <c r="F25" s="37">
        <v>0.28999999999999998</v>
      </c>
      <c r="G25" s="37">
        <v>0.26</v>
      </c>
      <c r="H25" s="37">
        <v>0.22</v>
      </c>
      <c r="I25" s="37">
        <v>0.19</v>
      </c>
      <c r="J25" s="37">
        <v>0.183</v>
      </c>
      <c r="K25" s="37">
        <v>0.216</v>
      </c>
    </row>
    <row r="27" spans="1:16" ht="15" customHeight="1" x14ac:dyDescent="0.2">
      <c r="A27" s="7" t="s">
        <v>379</v>
      </c>
    </row>
    <row r="28" spans="1:16" ht="15" customHeight="1" x14ac:dyDescent="0.2">
      <c r="A28" s="5" t="s">
        <v>380</v>
      </c>
      <c r="B28" s="44">
        <v>93427</v>
      </c>
      <c r="C28" s="44">
        <v>103951</v>
      </c>
      <c r="D28" s="44">
        <v>120671</v>
      </c>
      <c r="E28" s="44">
        <v>130464</v>
      </c>
      <c r="F28" s="44">
        <v>146148</v>
      </c>
      <c r="G28" s="44">
        <v>164038</v>
      </c>
      <c r="H28" s="44">
        <v>183425</v>
      </c>
      <c r="I28" s="44">
        <v>198277</v>
      </c>
      <c r="J28" s="44">
        <v>213267</v>
      </c>
      <c r="K28" s="44">
        <v>226088</v>
      </c>
      <c r="L28" s="22">
        <f>K28*(1+Assumptions!B23)</f>
        <v>232674.31602500007</v>
      </c>
      <c r="M28" s="22">
        <f>L28*(1+Assumptions!C23)</f>
        <v>239452.50097580225</v>
      </c>
      <c r="N28" s="22">
        <f>M28*(1+Assumptions!D23)</f>
        <v>246428.14423408025</v>
      </c>
      <c r="O28" s="22">
        <f>N28*(1+Assumptions!E23)</f>
        <v>253606.99800608153</v>
      </c>
      <c r="P28" s="22">
        <f>O28*(1+Assumptions!F23)</f>
        <v>260994.98206584714</v>
      </c>
    </row>
    <row r="29" spans="1:16" ht="15" customHeight="1" x14ac:dyDescent="0.2">
      <c r="A29" s="5" t="s">
        <v>381</v>
      </c>
      <c r="B29" s="44">
        <v>8879</v>
      </c>
      <c r="C29" s="44">
        <v>9377</v>
      </c>
      <c r="D29" s="44">
        <v>9755</v>
      </c>
      <c r="E29" s="44">
        <v>11408</v>
      </c>
      <c r="F29" s="44">
        <v>10852</v>
      </c>
      <c r="G29" s="44">
        <v>9861</v>
      </c>
      <c r="H29" s="44">
        <v>12620</v>
      </c>
      <c r="I29" s="44">
        <v>12939</v>
      </c>
      <c r="J29" s="44">
        <v>13905</v>
      </c>
      <c r="K29" s="44">
        <v>15053</v>
      </c>
      <c r="L29" s="22">
        <f>K29*(1+Assumptions!B23)</f>
        <v>15491.518696809764</v>
      </c>
      <c r="M29" s="22">
        <f>L29*(1+Assumptions!C23)</f>
        <v>15942.81207843296</v>
      </c>
      <c r="N29" s="22">
        <f>M29*(1+Assumptions!D23)</f>
        <v>16407.252287408486</v>
      </c>
      <c r="O29" s="22">
        <f>N29*(1+Assumptions!E23)</f>
        <v>16885.222307179265</v>
      </c>
      <c r="P29" s="22">
        <f>O29*(1+Assumptions!F23)</f>
        <v>17377.11627789709</v>
      </c>
    </row>
    <row r="30" spans="1:16" ht="15" customHeight="1" x14ac:dyDescent="0.2">
      <c r="A30" s="5" t="s">
        <v>382</v>
      </c>
      <c r="B30" s="44">
        <v>3118</v>
      </c>
      <c r="C30" s="44">
        <v>1892</v>
      </c>
      <c r="D30" s="44">
        <v>5286</v>
      </c>
      <c r="E30" s="44">
        <v>10464</v>
      </c>
      <c r="F30" s="44">
        <v>7662</v>
      </c>
      <c r="G30" s="44">
        <v>9336</v>
      </c>
      <c r="H30" s="44">
        <v>10867</v>
      </c>
      <c r="I30" s="44">
        <v>12827</v>
      </c>
      <c r="J30" s="44">
        <v>13309</v>
      </c>
      <c r="K30" s="44">
        <v>13687</v>
      </c>
      <c r="L30" s="22">
        <f>K30*(1+Assumptions!B23)</f>
        <v>14085.724865690243</v>
      </c>
      <c r="M30" s="22">
        <f>L30*(1+Assumptions!C23)</f>
        <v>14496.065164253765</v>
      </c>
      <c r="N30" s="22">
        <f>M30*(1+Assumptions!D23)</f>
        <v>14918.359267771204</v>
      </c>
      <c r="O30" s="22">
        <f>N30*(1+Assumptions!E23)</f>
        <v>15352.955405458219</v>
      </c>
      <c r="P30" s="22">
        <f>O30*(1+Assumptions!F23)</f>
        <v>15800.211950812292</v>
      </c>
    </row>
    <row r="31" spans="1:16" ht="15" customHeight="1" x14ac:dyDescent="0.2">
      <c r="A31" s="7" t="s">
        <v>383</v>
      </c>
      <c r="B31" s="13">
        <f t="shared" ref="B31:P31" si="1">B28+B29+B30</f>
        <v>105424</v>
      </c>
      <c r="C31" s="13">
        <f t="shared" si="1"/>
        <v>115220</v>
      </c>
      <c r="D31" s="13">
        <f t="shared" si="1"/>
        <v>135712</v>
      </c>
      <c r="E31" s="13">
        <f t="shared" si="1"/>
        <v>152336</v>
      </c>
      <c r="F31" s="13">
        <f t="shared" si="1"/>
        <v>164662</v>
      </c>
      <c r="G31" s="13">
        <f t="shared" si="1"/>
        <v>183235</v>
      </c>
      <c r="H31" s="13">
        <f t="shared" si="1"/>
        <v>206912</v>
      </c>
      <c r="I31" s="13">
        <f t="shared" si="1"/>
        <v>224043</v>
      </c>
      <c r="J31" s="13">
        <f t="shared" si="1"/>
        <v>240481</v>
      </c>
      <c r="K31" s="13">
        <f t="shared" si="1"/>
        <v>254828</v>
      </c>
      <c r="L31" s="13">
        <f t="shared" si="1"/>
        <v>262251.55958750006</v>
      </c>
      <c r="M31" s="13">
        <f t="shared" si="1"/>
        <v>269891.378218489</v>
      </c>
      <c r="N31" s="13">
        <f t="shared" si="1"/>
        <v>277753.75578925991</v>
      </c>
      <c r="O31" s="13">
        <f t="shared" si="1"/>
        <v>285845.17571871902</v>
      </c>
      <c r="P31" s="13">
        <f t="shared" si="1"/>
        <v>294172.31029455655</v>
      </c>
    </row>
    <row r="32" spans="1:16" ht="15" customHeight="1" x14ac:dyDescent="0.2">
      <c r="A32" s="5" t="s">
        <v>384</v>
      </c>
      <c r="B32" s="45">
        <f>IF(IS!B18=0,"",B28/IS!B18)</f>
        <v>0.88620238275914398</v>
      </c>
      <c r="C32" s="45">
        <f>IF(IS!C18=0,"",C28/IS!C18)</f>
        <v>0.90219579934039229</v>
      </c>
      <c r="D32" s="45">
        <f>IF(IS!D18=0,"",D28/IS!D18)</f>
        <v>0.88916971233199715</v>
      </c>
      <c r="E32" s="45">
        <f>IF(IS!E18=0,"",E28/IS!E18)</f>
        <v>0.8564226446801807</v>
      </c>
      <c r="F32" s="45">
        <f>IF(IS!F18=0,"",F28/IS!F18)</f>
        <v>0.88756361516318272</v>
      </c>
      <c r="G32" s="45">
        <f>IF(IS!G18=0,"",G28/IS!G18)</f>
        <v>0.8952328976451005</v>
      </c>
      <c r="H32" s="45">
        <f>IF(IS!H18=0,"",H28/IS!H18)</f>
        <v>0.88648797556449122</v>
      </c>
      <c r="I32" s="45">
        <f>IF(IS!I18=0,"",I28/IS!I18)</f>
        <v>0.8849952910825154</v>
      </c>
      <c r="J32" s="45">
        <f>IF(IS!J18=0,"",J28/IS!J18)</f>
        <v>0.88683513458443708</v>
      </c>
      <c r="K32" s="45">
        <f>IF(IS!K18=0,"",K28/IS!K18)</f>
        <v>0.88721804511278191</v>
      </c>
      <c r="L32" s="45">
        <f>IF(IS!L18=0,"",L28/IS!L18)</f>
        <v>0.88721804511278202</v>
      </c>
      <c r="M32" s="45">
        <f>IF(IS!M18=0,"",M28/IS!M18)</f>
        <v>0.88721804511278202</v>
      </c>
      <c r="N32" s="45">
        <f>IF(IS!N18=0,"",N28/IS!N18)</f>
        <v>0.88721804511278202</v>
      </c>
      <c r="O32" s="45">
        <f>IF(IS!O18=0,"",O28/IS!O18)</f>
        <v>0.88721804511278191</v>
      </c>
      <c r="P32" s="45">
        <f>IF(IS!P18=0,"",P28/IS!P18)</f>
        <v>0.88721804511278191</v>
      </c>
    </row>
    <row r="34" spans="1:16" ht="15" customHeight="1" x14ac:dyDescent="0.2">
      <c r="A34" s="7" t="s">
        <v>385</v>
      </c>
    </row>
    <row r="35" spans="1:16" ht="15" customHeight="1" x14ac:dyDescent="0.2">
      <c r="A35" s="5" t="s">
        <v>380</v>
      </c>
      <c r="B35" s="44">
        <v>155839</v>
      </c>
      <c r="D35" s="44">
        <v>190048</v>
      </c>
      <c r="E35" s="44">
        <v>211558</v>
      </c>
      <c r="F35" s="44">
        <v>228915</v>
      </c>
      <c r="G35" s="44">
        <v>254955</v>
      </c>
      <c r="H35" s="44">
        <v>289790</v>
      </c>
      <c r="J35" s="44">
        <v>321094</v>
      </c>
      <c r="K35" s="44">
        <v>337584</v>
      </c>
    </row>
    <row r="36" spans="1:16" ht="15" customHeight="1" x14ac:dyDescent="0.2">
      <c r="A36" s="5" t="s">
        <v>381</v>
      </c>
      <c r="B36" s="44">
        <v>14715</v>
      </c>
      <c r="D36" s="44">
        <v>15850</v>
      </c>
      <c r="E36" s="44">
        <v>16806</v>
      </c>
      <c r="F36" s="44">
        <v>17393</v>
      </c>
      <c r="G36" s="44">
        <v>18578</v>
      </c>
      <c r="H36" s="44">
        <v>19790</v>
      </c>
      <c r="J36" s="44">
        <v>21410</v>
      </c>
      <c r="K36" s="44">
        <v>22766</v>
      </c>
    </row>
    <row r="37" spans="1:16" ht="15" customHeight="1" x14ac:dyDescent="0.2">
      <c r="A37" s="5" t="s">
        <v>382</v>
      </c>
      <c r="B37" s="44">
        <v>4715</v>
      </c>
      <c r="D37" s="44">
        <v>10061</v>
      </c>
      <c r="E37" s="44">
        <v>13800</v>
      </c>
      <c r="F37" s="44">
        <v>15382</v>
      </c>
      <c r="G37" s="44">
        <v>17384</v>
      </c>
      <c r="H37" s="44">
        <v>19267</v>
      </c>
      <c r="J37" s="44">
        <v>22146</v>
      </c>
      <c r="K37" s="44">
        <v>23051</v>
      </c>
    </row>
    <row r="38" spans="1:16" ht="15" customHeight="1" x14ac:dyDescent="0.2">
      <c r="A38" s="7" t="s">
        <v>386</v>
      </c>
      <c r="B38" s="13">
        <f t="shared" ref="B38:K38" si="2">IF(OR(B35="",B36="",B37=""),"",B35+B36+B37)</f>
        <v>175269</v>
      </c>
      <c r="C38" s="13" t="str">
        <f t="shared" si="2"/>
        <v/>
      </c>
      <c r="D38" s="13">
        <f t="shared" si="2"/>
        <v>215959</v>
      </c>
      <c r="E38" s="13">
        <f t="shared" si="2"/>
        <v>242164</v>
      </c>
      <c r="F38" s="13">
        <f t="shared" si="2"/>
        <v>261690</v>
      </c>
      <c r="G38" s="13">
        <f t="shared" si="2"/>
        <v>290917</v>
      </c>
      <c r="H38" s="13">
        <f t="shared" si="2"/>
        <v>328847</v>
      </c>
      <c r="I38" s="13" t="str">
        <f t="shared" si="2"/>
        <v/>
      </c>
      <c r="J38" s="13">
        <f t="shared" si="2"/>
        <v>364650</v>
      </c>
      <c r="K38" s="13">
        <f t="shared" si="2"/>
        <v>383401</v>
      </c>
    </row>
    <row r="40" spans="1:16" ht="15" customHeight="1" x14ac:dyDescent="0.2">
      <c r="A40" s="7" t="s">
        <v>387</v>
      </c>
    </row>
    <row r="41" spans="1:16" ht="15" customHeight="1" x14ac:dyDescent="0.2">
      <c r="A41" s="5" t="s">
        <v>388</v>
      </c>
      <c r="B41" s="46">
        <v>14105</v>
      </c>
      <c r="C41" s="46">
        <v>14983</v>
      </c>
      <c r="D41" s="46">
        <v>15883</v>
      </c>
      <c r="E41" s="46">
        <v>16325</v>
      </c>
      <c r="F41" s="46">
        <v>17048</v>
      </c>
      <c r="G41" s="46">
        <v>18685</v>
      </c>
      <c r="H41" s="46">
        <v>19527</v>
      </c>
      <c r="I41" s="46">
        <v>18835</v>
      </c>
      <c r="J41" s="46">
        <v>18100</v>
      </c>
      <c r="K41" s="46">
        <v>17853</v>
      </c>
      <c r="L41" s="6">
        <f>Assumptions!B61-L42</f>
        <v>17853</v>
      </c>
      <c r="M41" s="6">
        <f>Assumptions!C61-M42</f>
        <v>17853</v>
      </c>
      <c r="N41" s="6">
        <f>Assumptions!D61-N42</f>
        <v>17853</v>
      </c>
      <c r="O41" s="6">
        <f>Assumptions!E61-O42</f>
        <v>17853</v>
      </c>
      <c r="P41" s="6">
        <f>Assumptions!F61-P42</f>
        <v>17853</v>
      </c>
    </row>
    <row r="42" spans="1:16" ht="15" customHeight="1" x14ac:dyDescent="0.2">
      <c r="A42" s="5" t="s">
        <v>389</v>
      </c>
      <c r="B42" s="46">
        <v>5165</v>
      </c>
      <c r="C42" s="46">
        <v>5400</v>
      </c>
      <c r="D42" s="46">
        <v>5427</v>
      </c>
      <c r="E42" s="46">
        <v>5800</v>
      </c>
      <c r="F42" s="46">
        <v>5875</v>
      </c>
      <c r="G42" s="46">
        <v>5875</v>
      </c>
      <c r="H42" s="46">
        <v>5975</v>
      </c>
      <c r="I42" s="46">
        <v>5975</v>
      </c>
      <c r="J42" s="46">
        <v>5975</v>
      </c>
      <c r="K42" s="46">
        <v>5750</v>
      </c>
      <c r="L42" s="46">
        <v>5750</v>
      </c>
      <c r="M42" s="46">
        <v>5750</v>
      </c>
      <c r="N42" s="46">
        <v>5750</v>
      </c>
      <c r="O42" s="46">
        <v>5750</v>
      </c>
      <c r="P42" s="46">
        <v>5750</v>
      </c>
    </row>
    <row r="43" spans="1:16" ht="15" customHeight="1" x14ac:dyDescent="0.2">
      <c r="A43" s="7" t="s">
        <v>390</v>
      </c>
      <c r="B43" s="8">
        <f t="shared" ref="B43:P43" si="3">B41+B42</f>
        <v>19270</v>
      </c>
      <c r="C43" s="8">
        <f t="shared" si="3"/>
        <v>20383</v>
      </c>
      <c r="D43" s="8">
        <f t="shared" si="3"/>
        <v>21310</v>
      </c>
      <c r="E43" s="8">
        <f t="shared" si="3"/>
        <v>22125</v>
      </c>
      <c r="F43" s="8">
        <f t="shared" si="3"/>
        <v>22923</v>
      </c>
      <c r="G43" s="8">
        <f t="shared" si="3"/>
        <v>24560</v>
      </c>
      <c r="H43" s="8">
        <f t="shared" si="3"/>
        <v>25502</v>
      </c>
      <c r="I43" s="8">
        <f t="shared" si="3"/>
        <v>24810</v>
      </c>
      <c r="J43" s="8">
        <f t="shared" si="3"/>
        <v>24075</v>
      </c>
      <c r="K43" s="8">
        <f t="shared" si="3"/>
        <v>23603</v>
      </c>
      <c r="L43" s="8">
        <f t="shared" si="3"/>
        <v>23603</v>
      </c>
      <c r="M43" s="8">
        <f t="shared" si="3"/>
        <v>23603</v>
      </c>
      <c r="N43" s="8">
        <f t="shared" si="3"/>
        <v>23603</v>
      </c>
      <c r="O43" s="8">
        <f t="shared" si="3"/>
        <v>23603</v>
      </c>
      <c r="P43" s="8">
        <f t="shared" si="3"/>
        <v>23603</v>
      </c>
    </row>
    <row r="45" spans="1:16" ht="15" customHeight="1" x14ac:dyDescent="0.2">
      <c r="A45" s="7" t="s">
        <v>391</v>
      </c>
    </row>
    <row r="46" spans="1:16" ht="15" customHeight="1" x14ac:dyDescent="0.2">
      <c r="A46" s="5" t="s">
        <v>392</v>
      </c>
      <c r="B46" s="47">
        <f t="shared" ref="B46:K46" si="4">IF(OR(B35="",B35=0),"",B28/B35)</f>
        <v>0.59950975044757726</v>
      </c>
      <c r="C46" s="47" t="str">
        <f t="shared" si="4"/>
        <v/>
      </c>
      <c r="D46" s="47">
        <f t="shared" si="4"/>
        <v>0.63495011786496047</v>
      </c>
      <c r="E46" s="47">
        <f t="shared" si="4"/>
        <v>0.61668195010351767</v>
      </c>
      <c r="F46" s="47">
        <f t="shared" si="4"/>
        <v>0.63843784810956028</v>
      </c>
      <c r="G46" s="47">
        <f t="shared" si="4"/>
        <v>0.64339981565374282</v>
      </c>
      <c r="H46" s="47">
        <f t="shared" si="4"/>
        <v>0.63295834914938409</v>
      </c>
      <c r="I46" s="47" t="str">
        <f t="shared" si="4"/>
        <v/>
      </c>
      <c r="J46" s="47">
        <f t="shared" si="4"/>
        <v>0.66418867995041952</v>
      </c>
      <c r="K46" s="47">
        <f t="shared" si="4"/>
        <v>0.66972368358689982</v>
      </c>
    </row>
    <row r="47" spans="1:16" ht="15" customHeight="1" x14ac:dyDescent="0.2">
      <c r="A47" s="5" t="s">
        <v>393</v>
      </c>
      <c r="B47" s="47">
        <f t="shared" ref="B47:K47" si="5">IF(OR(B36="",B36=0),"",B29/B36)</f>
        <v>0.60339789330615023</v>
      </c>
      <c r="C47" s="47" t="str">
        <f t="shared" si="5"/>
        <v/>
      </c>
      <c r="D47" s="47">
        <f t="shared" si="5"/>
        <v>0.61545741324921133</v>
      </c>
      <c r="E47" s="47">
        <f t="shared" si="5"/>
        <v>0.67880518862311079</v>
      </c>
      <c r="F47" s="47">
        <f t="shared" si="5"/>
        <v>0.62392916690622668</v>
      </c>
      <c r="G47" s="47">
        <f t="shared" si="5"/>
        <v>0.53078910539347612</v>
      </c>
      <c r="H47" s="47">
        <f t="shared" si="5"/>
        <v>0.63769580596260733</v>
      </c>
      <c r="I47" s="47" t="str">
        <f t="shared" si="5"/>
        <v/>
      </c>
      <c r="J47" s="47">
        <f t="shared" si="5"/>
        <v>0.64946286781877627</v>
      </c>
      <c r="K47" s="47">
        <f t="shared" si="5"/>
        <v>0.66120530615830619</v>
      </c>
    </row>
    <row r="48" spans="1:16" ht="15" customHeight="1" x14ac:dyDescent="0.2">
      <c r="A48" s="5" t="s">
        <v>394</v>
      </c>
      <c r="B48" s="47">
        <f t="shared" ref="B48:K48" si="6">IF(OR(B37="",B37=0),"",B30/B37)</f>
        <v>0.66129374337221636</v>
      </c>
      <c r="C48" s="47" t="str">
        <f t="shared" si="6"/>
        <v/>
      </c>
      <c r="D48" s="47">
        <f t="shared" si="6"/>
        <v>0.52539508995129713</v>
      </c>
      <c r="E48" s="47">
        <f t="shared" si="6"/>
        <v>0.75826086956521743</v>
      </c>
      <c r="F48" s="47">
        <f t="shared" si="6"/>
        <v>0.49811467949551425</v>
      </c>
      <c r="G48" s="47">
        <f t="shared" si="6"/>
        <v>0.53704555913483665</v>
      </c>
      <c r="H48" s="47">
        <f t="shared" si="6"/>
        <v>0.56402138371308452</v>
      </c>
      <c r="I48" s="47" t="str">
        <f t="shared" si="6"/>
        <v/>
      </c>
      <c r="J48" s="47">
        <f t="shared" si="6"/>
        <v>0.60096631445859294</v>
      </c>
      <c r="K48" s="47">
        <f t="shared" si="6"/>
        <v>0.59377033534336909</v>
      </c>
    </row>
    <row r="50" spans="1:16" ht="15" customHeight="1" x14ac:dyDescent="0.2">
      <c r="A50" s="7" t="s">
        <v>395</v>
      </c>
    </row>
    <row r="51" spans="1:16" ht="15" customHeight="1" x14ac:dyDescent="0.2">
      <c r="A51" s="5" t="s">
        <v>396</v>
      </c>
      <c r="B51" s="48">
        <f t="shared" ref="B51:P51" si="7">IF(B41=0,"",B28*1000/B41)</f>
        <v>6623.6795462601913</v>
      </c>
      <c r="C51" s="48">
        <f t="shared" si="7"/>
        <v>6937.9296536074216</v>
      </c>
      <c r="D51" s="48">
        <f t="shared" si="7"/>
        <v>7597.4941761631935</v>
      </c>
      <c r="E51" s="48">
        <f t="shared" si="7"/>
        <v>7991.6692189892801</v>
      </c>
      <c r="F51" s="48">
        <f t="shared" si="7"/>
        <v>8572.7358047864855</v>
      </c>
      <c r="G51" s="48">
        <f t="shared" si="7"/>
        <v>8779.1276424939788</v>
      </c>
      <c r="H51" s="48">
        <f t="shared" si="7"/>
        <v>9393.4040047114249</v>
      </c>
      <c r="I51" s="48">
        <f t="shared" si="7"/>
        <v>10527.050703477569</v>
      </c>
      <c r="J51" s="48">
        <f t="shared" si="7"/>
        <v>11782.707182320442</v>
      </c>
      <c r="K51" s="48">
        <f t="shared" si="7"/>
        <v>12663.866016915925</v>
      </c>
      <c r="L51" s="48">
        <f t="shared" si="7"/>
        <v>13032.785303590437</v>
      </c>
      <c r="M51" s="48">
        <f t="shared" si="7"/>
        <v>13412.451743449406</v>
      </c>
      <c r="N51" s="48">
        <f t="shared" si="7"/>
        <v>13803.178414500659</v>
      </c>
      <c r="O51" s="48">
        <f t="shared" si="7"/>
        <v>14205.287515044056</v>
      </c>
      <c r="P51" s="48">
        <f t="shared" si="7"/>
        <v>14619.11062935345</v>
      </c>
    </row>
    <row r="52" spans="1:16" ht="15" customHeight="1" x14ac:dyDescent="0.2">
      <c r="A52" s="5" t="s">
        <v>397</v>
      </c>
      <c r="B52" s="48">
        <f t="shared" ref="B52:K52" si="8">IF(OR(B35="",B41=0),"",B35*1000/B41)</f>
        <v>11048.493442041829</v>
      </c>
      <c r="C52" s="48" t="str">
        <f t="shared" si="8"/>
        <v/>
      </c>
      <c r="D52" s="48">
        <f t="shared" si="8"/>
        <v>11965.497701945476</v>
      </c>
      <c r="E52" s="48">
        <f t="shared" si="8"/>
        <v>12959.142419601838</v>
      </c>
      <c r="F52" s="48">
        <f t="shared" si="8"/>
        <v>13427.674800563116</v>
      </c>
      <c r="G52" s="48">
        <f t="shared" si="8"/>
        <v>13644.902328070644</v>
      </c>
      <c r="H52" s="48">
        <f t="shared" si="8"/>
        <v>14840.477287857839</v>
      </c>
      <c r="I52" s="48" t="str">
        <f t="shared" si="8"/>
        <v/>
      </c>
      <c r="J52" s="48">
        <f t="shared" si="8"/>
        <v>17740</v>
      </c>
      <c r="K52" s="48">
        <f t="shared" si="8"/>
        <v>18909.090909090908</v>
      </c>
    </row>
    <row r="53" spans="1:16" ht="15" customHeight="1" x14ac:dyDescent="0.2">
      <c r="A53" s="5" t="s">
        <v>398</v>
      </c>
      <c r="B53" s="48">
        <f t="shared" ref="B53:P53" si="9">IF(B42=0,"",B29*1000/B42)</f>
        <v>1719.0706679574057</v>
      </c>
      <c r="C53" s="48">
        <f t="shared" si="9"/>
        <v>1736.4814814814815</v>
      </c>
      <c r="D53" s="48">
        <f t="shared" si="9"/>
        <v>1797.4940114243598</v>
      </c>
      <c r="E53" s="48">
        <f t="shared" si="9"/>
        <v>1966.8965517241379</v>
      </c>
      <c r="F53" s="48">
        <f t="shared" si="9"/>
        <v>1847.1489361702127</v>
      </c>
      <c r="G53" s="48">
        <f t="shared" si="9"/>
        <v>1678.4680851063829</v>
      </c>
      <c r="H53" s="48">
        <f t="shared" si="9"/>
        <v>2112.1338912133892</v>
      </c>
      <c r="I53" s="48">
        <f t="shared" si="9"/>
        <v>2165.5230125523012</v>
      </c>
      <c r="J53" s="48">
        <f t="shared" si="9"/>
        <v>2327.1966527196651</v>
      </c>
      <c r="K53" s="48">
        <f t="shared" si="9"/>
        <v>2617.913043478261</v>
      </c>
      <c r="L53" s="48">
        <f t="shared" si="9"/>
        <v>2694.177164662568</v>
      </c>
      <c r="M53" s="48">
        <f t="shared" si="9"/>
        <v>2772.6629701622542</v>
      </c>
      <c r="N53" s="48">
        <f t="shared" si="9"/>
        <v>2853.4351804188673</v>
      </c>
      <c r="O53" s="48">
        <f t="shared" si="9"/>
        <v>2936.5604012485678</v>
      </c>
      <c r="P53" s="48">
        <f t="shared" si="9"/>
        <v>3022.1071787647111</v>
      </c>
    </row>
    <row r="54" spans="1:16" ht="15" customHeight="1" x14ac:dyDescent="0.2">
      <c r="A54" s="5" t="s">
        <v>399</v>
      </c>
      <c r="B54" s="49">
        <f>IF(B43=0,"",IS!B18*1000/B43)</f>
        <v>5470.8873897249614</v>
      </c>
      <c r="C54" s="49">
        <f>IF(C43=0,"",IS!C18*1000/C43)</f>
        <v>5652.7498405534025</v>
      </c>
      <c r="D54" s="49">
        <f>IF(D43=0,"",IS!D18*1000/D43)</f>
        <v>6368.4655091506338</v>
      </c>
      <c r="E54" s="49">
        <f>IF(E43=0,"",IS!E18*1000/E43)</f>
        <v>6885.2429378531069</v>
      </c>
      <c r="F54" s="49">
        <f>IF(F43=0,"",IS!F18*1000/F43)</f>
        <v>7183.2657156567639</v>
      </c>
      <c r="G54" s="49">
        <f>IF(G43=0,"",IS!G18*1000/G43)</f>
        <v>7460.7084690553747</v>
      </c>
      <c r="H54" s="49">
        <f>IF(H43=0,"",IS!H18*1000/H43)</f>
        <v>8113.5597208062109</v>
      </c>
      <c r="I54" s="49">
        <f>IF(I43=0,"",IS!I18*1000/I43)</f>
        <v>9030.3506650544132</v>
      </c>
      <c r="J54" s="49">
        <f>IF(J43=0,"",IS!J18*1000/J43)</f>
        <v>9988.8265835929396</v>
      </c>
      <c r="K54" s="49">
        <f>IF(K43=0,"",IS!K18*1000/K43)</f>
        <v>10796.424183366522</v>
      </c>
      <c r="L54" s="49">
        <f>IF(L43=0,"",IS!L18*1000/L43)</f>
        <v>11110.941811951874</v>
      </c>
      <c r="M54" s="49">
        <f>IF(M43=0,"",IS!M18*1000/M43)</f>
        <v>11434.621794623095</v>
      </c>
      <c r="N54" s="49">
        <f>IF(N43=0,"",IS!N18*1000/N43)</f>
        <v>11767.731042209038</v>
      </c>
      <c r="O54" s="49">
        <f>IF(O43=0,"",IS!O18*1000/O43)</f>
        <v>12110.544240932042</v>
      </c>
      <c r="P54" s="49">
        <f>IF(P43=0,"",IS!P18*1000/P43)</f>
        <v>12463.344078911858</v>
      </c>
    </row>
    <row r="56" spans="1:16" ht="15" customHeight="1" x14ac:dyDescent="0.2">
      <c r="A56" s="7" t="s">
        <v>400</v>
      </c>
    </row>
    <row r="57" spans="1:16" ht="15" customHeight="1" x14ac:dyDescent="0.2">
      <c r="A57" s="5" t="s">
        <v>401</v>
      </c>
      <c r="H57" s="50">
        <v>4.4999999999999998E-2</v>
      </c>
      <c r="J57" s="50">
        <v>8.5000000000000006E-2</v>
      </c>
      <c r="K57" s="50">
        <v>5.3999999999999999E-2</v>
      </c>
    </row>
    <row r="58" spans="1:16" ht="15" customHeight="1" x14ac:dyDescent="0.2">
      <c r="A58" s="5" t="s">
        <v>402</v>
      </c>
      <c r="H58" s="50">
        <v>0.06</v>
      </c>
    </row>
    <row r="59" spans="1:16" ht="15" customHeight="1" x14ac:dyDescent="0.2">
      <c r="A59" s="5" t="s">
        <v>403</v>
      </c>
      <c r="H59" s="50">
        <v>7.9000000000000001E-2</v>
      </c>
    </row>
    <row r="60" spans="1:16" ht="15" customHeight="1" x14ac:dyDescent="0.2">
      <c r="A60" s="5" t="s">
        <v>404</v>
      </c>
      <c r="B60" s="26">
        <f t="shared" ref="B60:K60" si="10">B43</f>
        <v>19270</v>
      </c>
      <c r="C60" s="26">
        <f t="shared" si="10"/>
        <v>20383</v>
      </c>
      <c r="D60" s="26">
        <f t="shared" si="10"/>
        <v>21310</v>
      </c>
      <c r="E60" s="26">
        <f t="shared" si="10"/>
        <v>22125</v>
      </c>
      <c r="F60" s="26">
        <f t="shared" si="10"/>
        <v>22923</v>
      </c>
      <c r="G60" s="26">
        <f t="shared" si="10"/>
        <v>24560</v>
      </c>
      <c r="H60" s="26">
        <f t="shared" si="10"/>
        <v>25502</v>
      </c>
      <c r="I60" s="26">
        <f t="shared" si="10"/>
        <v>24810</v>
      </c>
      <c r="J60" s="26">
        <f t="shared" si="10"/>
        <v>24075</v>
      </c>
      <c r="K60" s="26">
        <f t="shared" si="10"/>
        <v>23603</v>
      </c>
    </row>
    <row r="62" spans="1:16" ht="15" customHeight="1" x14ac:dyDescent="0.2">
      <c r="A62" s="2" t="s">
        <v>405</v>
      </c>
    </row>
    <row r="63" spans="1:16" ht="15" customHeight="1" x14ac:dyDescent="0.2">
      <c r="A63" t="s">
        <v>406</v>
      </c>
      <c r="B63" s="37">
        <v>3.0099999999999998E-2</v>
      </c>
      <c r="C63" s="37">
        <v>2.8899999999999999E-2</v>
      </c>
      <c r="D63" s="37">
        <v>2.9499999999999998E-2</v>
      </c>
      <c r="E63" s="37">
        <v>2.9000000000000001E-2</v>
      </c>
      <c r="F63" s="37">
        <v>2.69E-2</v>
      </c>
      <c r="G63" s="37">
        <v>2.58E-2</v>
      </c>
      <c r="H63" s="37">
        <v>2.7400000000000001E-2</v>
      </c>
      <c r="I63" s="37">
        <v>3.2000000000000001E-2</v>
      </c>
      <c r="J63" s="37">
        <v>3.5000000000000003E-2</v>
      </c>
      <c r="K63" s="37">
        <v>3.5799999999999998E-2</v>
      </c>
    </row>
    <row r="69" spans="1:11" ht="15" customHeight="1" x14ac:dyDescent="0.2">
      <c r="A69" s="2" t="s">
        <v>407</v>
      </c>
    </row>
    <row r="70" spans="1:11" ht="15" customHeight="1" x14ac:dyDescent="0.2">
      <c r="A70" t="s">
        <v>41</v>
      </c>
      <c r="B70" s="9">
        <f>IS!B51</f>
        <v>68569</v>
      </c>
      <c r="C70" s="9">
        <f>IS!C51</f>
        <v>78658</v>
      </c>
      <c r="D70" s="9">
        <f>IS!D51</f>
        <v>87185</v>
      </c>
      <c r="E70" s="9">
        <f>IS!E51</f>
        <v>95914</v>
      </c>
      <c r="F70" s="9">
        <f>IS!F51</f>
        <v>104503</v>
      </c>
      <c r="G70" s="9">
        <f>IS!G51</f>
        <v>111626</v>
      </c>
      <c r="H70" s="9">
        <f>IS!H51</f>
        <v>119637</v>
      </c>
      <c r="I70" s="9">
        <f>IS!I51</f>
        <v>121656</v>
      </c>
      <c r="J70" s="9">
        <f>IS!J51</f>
        <v>123123</v>
      </c>
      <c r="K70" s="9">
        <f>IS!K51</f>
        <v>124547</v>
      </c>
    </row>
    <row r="71" spans="1:11" ht="15" customHeight="1" x14ac:dyDescent="0.2">
      <c r="A71" t="s">
        <v>75</v>
      </c>
      <c r="B71" s="9">
        <f>BS!B57</f>
        <v>71736</v>
      </c>
      <c r="C71" s="9">
        <f>BS!C57</f>
        <v>84428</v>
      </c>
      <c r="D71" s="9">
        <f>BS!D57</f>
        <v>90213</v>
      </c>
      <c r="E71" s="9">
        <f>BS!E57</f>
        <v>97948</v>
      </c>
      <c r="F71" s="9">
        <f>BS!F57</f>
        <v>107314</v>
      </c>
      <c r="G71" s="9">
        <f>BS!G57</f>
        <v>110557</v>
      </c>
      <c r="H71" s="9">
        <f>BS!H57</f>
        <v>116801</v>
      </c>
      <c r="I71" s="9">
        <f>BS!I57</f>
        <v>118298</v>
      </c>
      <c r="J71" s="9">
        <f>BS!J57</f>
        <v>119621</v>
      </c>
      <c r="K71" s="9">
        <f>BS!K57</f>
        <v>121458</v>
      </c>
    </row>
    <row r="72" spans="1:11" ht="15" customHeight="1" x14ac:dyDescent="0.2">
      <c r="A72" t="s">
        <v>44</v>
      </c>
      <c r="B72" s="3">
        <f>IS!B66</f>
        <v>0.6</v>
      </c>
      <c r="C72" s="3">
        <f>IS!C66</f>
        <v>0.62</v>
      </c>
      <c r="D72" s="3">
        <f>IS!D66</f>
        <v>0.64</v>
      </c>
      <c r="E72" s="3">
        <f>IS!E66</f>
        <v>0.66</v>
      </c>
      <c r="F72" s="3">
        <f>IS!F66</f>
        <v>0.68</v>
      </c>
      <c r="G72" s="3">
        <f>IS!G66</f>
        <v>0.69</v>
      </c>
      <c r="H72" s="3">
        <f>IS!H66</f>
        <v>0.7</v>
      </c>
      <c r="I72" s="3">
        <f>IS!I66</f>
        <v>0.7</v>
      </c>
      <c r="J72" s="3">
        <f>IS!J66</f>
        <v>0.72</v>
      </c>
      <c r="K72" s="3">
        <f>IS!K66</f>
        <v>0.72</v>
      </c>
    </row>
    <row r="74" spans="1:11" ht="15" customHeight="1" x14ac:dyDescent="0.2">
      <c r="A74" t="s">
        <v>408</v>
      </c>
      <c r="B74" s="3">
        <f>IS!B8/IS!B51</f>
        <v>2.5560967784275692</v>
      </c>
      <c r="C74" s="3">
        <f>IS!C8/IS!C51</f>
        <v>2.3821734597879427</v>
      </c>
      <c r="D74" s="3">
        <f>IS!D8/IS!D51</f>
        <v>2.4770201296094512</v>
      </c>
      <c r="E74" s="3">
        <f>IS!E8/IS!E51</f>
        <v>2.5204766770231668</v>
      </c>
      <c r="F74" s="3">
        <f>IS!F8/IS!F51</f>
        <v>2.5041386371683108</v>
      </c>
      <c r="G74" s="3">
        <f>IS!G8/IS!G51</f>
        <v>2.6061759805063338</v>
      </c>
      <c r="H74" s="3">
        <f>IS!H8/IS!H51</f>
        <v>2.748706503840785</v>
      </c>
      <c r="I74" s="3">
        <f>IS!I8/IS!I51</f>
        <v>2.8617577431446044</v>
      </c>
      <c r="J74" s="3">
        <f>IS!J8/IS!J51</f>
        <v>2.9616724738675959</v>
      </c>
      <c r="K74" s="3">
        <f>IS!K8/IS!K51</f>
        <v>3.0783639911037599</v>
      </c>
    </row>
    <row r="75" spans="1:11" ht="15" customHeight="1" x14ac:dyDescent="0.2">
      <c r="A75" t="s">
        <v>409</v>
      </c>
      <c r="B75" s="3">
        <f>IS!B18/IS!B51</f>
        <v>1.537487786025755</v>
      </c>
      <c r="C75" s="3">
        <f>IS!C18/IS!C51</f>
        <v>1.4648223956876605</v>
      </c>
      <c r="D75" s="3">
        <f>IS!D18/IS!D51</f>
        <v>1.5565980386534382</v>
      </c>
      <c r="E75" s="3">
        <f>IS!E18/IS!E51</f>
        <v>1.588256146130909</v>
      </c>
      <c r="F75" s="3">
        <f>IS!F18/IS!F51</f>
        <v>1.5756676841813153</v>
      </c>
      <c r="G75" s="3">
        <f>IS!G18/IS!G51</f>
        <v>1.6415082507659506</v>
      </c>
      <c r="H75" s="3">
        <f>IS!H18/IS!H51</f>
        <v>1.7294983993246236</v>
      </c>
      <c r="I75" s="3">
        <f>IS!I18/IS!I51</f>
        <v>1.8416107713552969</v>
      </c>
      <c r="J75" s="3">
        <f>IS!J18/IS!J51</f>
        <v>1.9531769043964167</v>
      </c>
      <c r="K75" s="3">
        <f>IS!K18/IS!K51</f>
        <v>2.046038844773459</v>
      </c>
    </row>
    <row r="77" spans="1:11" ht="15" customHeight="1" x14ac:dyDescent="0.2">
      <c r="A77" s="7" t="s">
        <v>410</v>
      </c>
    </row>
    <row r="78" spans="1:11" ht="15" customHeight="1" x14ac:dyDescent="0.2">
      <c r="A78" s="5" t="s">
        <v>411</v>
      </c>
      <c r="K78" s="50">
        <v>0.28199999999999997</v>
      </c>
    </row>
    <row r="79" spans="1:11" ht="15" customHeight="1" x14ac:dyDescent="0.2">
      <c r="A79" s="5" t="s">
        <v>366</v>
      </c>
      <c r="K79" s="50">
        <v>0.214</v>
      </c>
    </row>
    <row r="80" spans="1:11" ht="15" customHeight="1" x14ac:dyDescent="0.2">
      <c r="A80" s="5" t="s">
        <v>412</v>
      </c>
      <c r="K80" s="50">
        <v>0.19800000000000001</v>
      </c>
    </row>
    <row r="81" spans="1:11" ht="15" customHeight="1" x14ac:dyDescent="0.2">
      <c r="A81" s="5" t="s">
        <v>413</v>
      </c>
      <c r="K81" s="50">
        <v>0.10299999999999999</v>
      </c>
    </row>
    <row r="83" spans="1:11" ht="15" customHeight="1" x14ac:dyDescent="0.2">
      <c r="A83" s="2" t="s">
        <v>414</v>
      </c>
    </row>
    <row r="84" spans="1:11" ht="15" customHeight="1" x14ac:dyDescent="0.2">
      <c r="A84" s="32" t="s">
        <v>415</v>
      </c>
      <c r="B84" s="32"/>
      <c r="C84" s="32"/>
      <c r="D84" s="32"/>
      <c r="E84" s="32">
        <v>304</v>
      </c>
      <c r="F84" s="32">
        <v>495</v>
      </c>
      <c r="G84" s="32">
        <v>551</v>
      </c>
      <c r="H84" s="32">
        <v>617</v>
      </c>
      <c r="I84" s="32">
        <v>345</v>
      </c>
      <c r="J84" s="32">
        <v>286</v>
      </c>
      <c r="K84" s="32">
        <v>263</v>
      </c>
    </row>
    <row r="85" spans="1:11" ht="15" customHeight="1" x14ac:dyDescent="0.2">
      <c r="A85" s="32" t="s">
        <v>416</v>
      </c>
      <c r="B85" s="32"/>
      <c r="C85" s="32"/>
      <c r="D85" s="32">
        <v>20000</v>
      </c>
      <c r="E85" s="32">
        <v>25000</v>
      </c>
      <c r="F85" s="32">
        <v>25000</v>
      </c>
      <c r="G85" s="32">
        <v>27900</v>
      </c>
      <c r="H85" s="32"/>
      <c r="I85" s="32"/>
      <c r="J85" s="32"/>
      <c r="K85" s="32"/>
    </row>
    <row r="86" spans="1:11" ht="15" customHeight="1" x14ac:dyDescent="0.2">
      <c r="A86" s="32" t="s">
        <v>417</v>
      </c>
      <c r="B86" s="32">
        <v>10335</v>
      </c>
      <c r="C86" s="32"/>
      <c r="D86" s="32"/>
      <c r="E86" s="32">
        <v>18718</v>
      </c>
      <c r="F86" s="32">
        <v>23971</v>
      </c>
      <c r="G86" s="32">
        <v>27784</v>
      </c>
      <c r="H86" s="32"/>
      <c r="I86" s="32">
        <v>26843</v>
      </c>
      <c r="J86" s="32">
        <v>22748</v>
      </c>
      <c r="K86" s="32">
        <v>22800</v>
      </c>
    </row>
    <row r="87" spans="1:11" ht="15" customHeight="1" x14ac:dyDescent="0.2">
      <c r="A87" s="32" t="s">
        <v>418</v>
      </c>
      <c r="B87" s="32"/>
      <c r="C87" s="32"/>
      <c r="D87" s="32">
        <v>0.14000000000000001</v>
      </c>
      <c r="E87" s="32">
        <v>0.13</v>
      </c>
      <c r="F87" s="32">
        <v>0.13</v>
      </c>
      <c r="G87" s="32">
        <v>0.13</v>
      </c>
      <c r="H87" s="32">
        <v>0.13</v>
      </c>
      <c r="I87" s="32"/>
      <c r="J87" s="32"/>
      <c r="K87" s="32">
        <v>0.18</v>
      </c>
    </row>
    <row r="88" spans="1:11" ht="15" customHeight="1" x14ac:dyDescent="0.2">
      <c r="A88" s="32" t="s">
        <v>419</v>
      </c>
      <c r="B88" s="32"/>
      <c r="C88" s="32"/>
      <c r="D88" s="32"/>
      <c r="E88" s="32"/>
      <c r="F88" s="32">
        <v>0.24</v>
      </c>
      <c r="G88" s="32">
        <v>0.29199999999999998</v>
      </c>
      <c r="H88" s="32"/>
      <c r="I88" s="32"/>
      <c r="J88" s="32"/>
      <c r="K88" s="32"/>
    </row>
    <row r="89" spans="1:11" ht="15" customHeight="1" x14ac:dyDescent="0.2">
      <c r="A89" s="32" t="s">
        <v>420</v>
      </c>
      <c r="B89" s="32"/>
      <c r="C89" s="32"/>
      <c r="D89" s="32"/>
      <c r="E89" s="32">
        <v>3000</v>
      </c>
      <c r="F89" s="32">
        <v>5000</v>
      </c>
      <c r="G89" s="32">
        <v>5500</v>
      </c>
      <c r="H89" s="32"/>
      <c r="I89" s="32"/>
      <c r="J89" s="32"/>
      <c r="K89" s="32"/>
    </row>
    <row r="91" spans="1:11" ht="15" customHeight="1" x14ac:dyDescent="0.2">
      <c r="A91" s="2" t="s">
        <v>421</v>
      </c>
    </row>
    <row r="92" spans="1:11" ht="15" customHeight="1" x14ac:dyDescent="0.2">
      <c r="A92" s="32" t="s">
        <v>422</v>
      </c>
      <c r="B92" s="32" t="s">
        <v>423</v>
      </c>
    </row>
    <row r="93" spans="1:11" ht="15" customHeight="1" x14ac:dyDescent="0.2">
      <c r="A93" s="32" t="s">
        <v>424</v>
      </c>
      <c r="B93" s="32" t="s">
        <v>425</v>
      </c>
    </row>
    <row r="94" spans="1:11" ht="15" customHeight="1" x14ac:dyDescent="0.2">
      <c r="A94" s="32" t="s">
        <v>426</v>
      </c>
      <c r="B94" s="32" t="s">
        <v>427</v>
      </c>
    </row>
    <row r="95" spans="1:11" ht="15" customHeight="1" x14ac:dyDescent="0.2">
      <c r="A95" s="32" t="s">
        <v>428</v>
      </c>
      <c r="B95" s="32" t="s">
        <v>429</v>
      </c>
    </row>
    <row r="96" spans="1:11" ht="15" customHeight="1" x14ac:dyDescent="0.2">
      <c r="A96" s="32" t="s">
        <v>430</v>
      </c>
      <c r="B96" s="32" t="s">
        <v>431</v>
      </c>
    </row>
    <row r="98" spans="1:1" ht="15" customHeight="1" x14ac:dyDescent="0.2">
      <c r="A98" s="2" t="s">
        <v>224</v>
      </c>
    </row>
    <row r="99" spans="1:1" ht="15" customHeight="1" x14ac:dyDescent="0.2">
      <c r="A99" s="36" t="s">
        <v>432</v>
      </c>
    </row>
    <row r="100" spans="1:1" ht="15" customHeight="1" x14ac:dyDescent="0.2">
      <c r="A100" s="36" t="s">
        <v>433</v>
      </c>
    </row>
    <row r="101" spans="1:1" ht="15" customHeight="1" x14ac:dyDescent="0.2">
      <c r="A101" s="36" t="s">
        <v>434</v>
      </c>
    </row>
    <row r="102" spans="1:1" ht="15" customHeight="1" x14ac:dyDescent="0.2">
      <c r="A102" s="36" t="s">
        <v>435</v>
      </c>
    </row>
    <row r="103" spans="1:1" ht="15" customHeight="1" x14ac:dyDescent="0.2">
      <c r="A103" s="36" t="s">
        <v>436</v>
      </c>
    </row>
    <row r="104" spans="1:1" ht="15" customHeight="1" x14ac:dyDescent="0.2">
      <c r="A104" s="36" t="s">
        <v>437</v>
      </c>
    </row>
    <row r="105" spans="1:1" ht="15" customHeight="1" x14ac:dyDescent="0.2">
      <c r="A105" s="36" t="s">
        <v>438</v>
      </c>
    </row>
    <row r="106" spans="1:1" ht="15" customHeight="1" x14ac:dyDescent="0.2">
      <c r="A106" s="36" t="s">
        <v>439</v>
      </c>
    </row>
    <row r="107" spans="1:1" ht="15" customHeight="1" x14ac:dyDescent="0.2">
      <c r="A107" s="36" t="s">
        <v>440</v>
      </c>
    </row>
    <row r="108" spans="1:1" ht="15" customHeight="1" x14ac:dyDescent="0.2">
      <c r="A108" s="36" t="s">
        <v>441</v>
      </c>
    </row>
    <row r="109" spans="1:1" ht="15" customHeight="1" x14ac:dyDescent="0.2">
      <c r="A109" s="36" t="s">
        <v>442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2"/>
  <sheetViews>
    <sheetView showGridLines="0" zoomScaleNormal="100" workbookViewId="0">
      <selection activeCell="L29" sqref="L29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t="s">
        <v>233</v>
      </c>
    </row>
    <row r="2" spans="1:16" ht="15" customHeight="1" x14ac:dyDescent="0.2">
      <c r="A2" t="s">
        <v>443</v>
      </c>
    </row>
    <row r="3" spans="1:16" ht="15" customHeight="1" x14ac:dyDescent="0.2">
      <c r="A3" t="s">
        <v>444</v>
      </c>
    </row>
    <row r="5" spans="1:16" ht="1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7" spans="1:16" ht="15" customHeight="1" x14ac:dyDescent="0.2">
      <c r="A7" s="2" t="s">
        <v>445</v>
      </c>
    </row>
    <row r="8" spans="1:16" ht="15" customHeight="1" x14ac:dyDescent="0.2">
      <c r="A8" t="s">
        <v>446</v>
      </c>
      <c r="B8" s="39">
        <v>175269</v>
      </c>
      <c r="C8" s="39">
        <v>187377</v>
      </c>
      <c r="D8" s="39">
        <v>215959</v>
      </c>
      <c r="E8" s="39">
        <v>241749</v>
      </c>
      <c r="F8" s="39">
        <v>261690</v>
      </c>
      <c r="G8" s="39">
        <v>290917</v>
      </c>
      <c r="H8" s="39">
        <v>328847</v>
      </c>
      <c r="I8" s="39">
        <v>348150</v>
      </c>
      <c r="J8" s="39">
        <v>364650</v>
      </c>
      <c r="K8" s="39">
        <v>383401</v>
      </c>
      <c r="L8" s="11">
        <f>Assumptions!B118</f>
        <v>394570.10296124098</v>
      </c>
      <c r="M8" s="11">
        <f>Assumptions!C118</f>
        <v>406064.5780697054</v>
      </c>
      <c r="N8" s="11">
        <f>Assumptions!D118</f>
        <v>417893.90382280614</v>
      </c>
      <c r="O8" s="11">
        <f>Assumptions!E118</f>
        <v>430067.83483656665</v>
      </c>
      <c r="P8" s="11">
        <f>Assumptions!F118</f>
        <v>442596.40988919302</v>
      </c>
    </row>
    <row r="9" spans="1:16" ht="15" customHeight="1" x14ac:dyDescent="0.2">
      <c r="A9" t="s">
        <v>447</v>
      </c>
    </row>
    <row r="10" spans="1:16" ht="15" customHeight="1" x14ac:dyDescent="0.2">
      <c r="A10" t="s">
        <v>448</v>
      </c>
    </row>
    <row r="11" spans="1:16" ht="15" customHeight="1" x14ac:dyDescent="0.2">
      <c r="A11" t="s">
        <v>449</v>
      </c>
    </row>
    <row r="13" spans="1:16" ht="15" customHeight="1" x14ac:dyDescent="0.2">
      <c r="A13" s="2" t="s">
        <v>28</v>
      </c>
    </row>
    <row r="14" spans="1:16" ht="15" customHeight="1" x14ac:dyDescent="0.2">
      <c r="A14" t="s">
        <v>450</v>
      </c>
      <c r="B14" s="39">
        <v>29097</v>
      </c>
      <c r="C14" s="39">
        <v>30444</v>
      </c>
      <c r="D14" s="39">
        <v>33447</v>
      </c>
      <c r="E14" s="39">
        <v>37187</v>
      </c>
      <c r="F14" s="39">
        <v>41610</v>
      </c>
      <c r="G14" s="39">
        <v>47482</v>
      </c>
      <c r="H14" s="39">
        <v>52308</v>
      </c>
      <c r="I14" s="39">
        <v>54070</v>
      </c>
      <c r="J14" s="39">
        <v>54786</v>
      </c>
      <c r="K14" s="39">
        <v>56558</v>
      </c>
    </row>
    <row r="15" spans="1:16" ht="15" customHeight="1" x14ac:dyDescent="0.2">
      <c r="A15" t="s">
        <v>451</v>
      </c>
      <c r="B15" s="39">
        <v>20286</v>
      </c>
      <c r="C15" s="39">
        <v>22045</v>
      </c>
      <c r="D15" s="39">
        <v>25095</v>
      </c>
      <c r="E15" s="39">
        <v>28711</v>
      </c>
      <c r="F15" s="39">
        <v>32178</v>
      </c>
      <c r="G15" s="39">
        <v>35517</v>
      </c>
      <c r="H15" s="39">
        <v>39521</v>
      </c>
      <c r="I15" s="39">
        <v>39230</v>
      </c>
      <c r="J15" s="39">
        <v>40927</v>
      </c>
      <c r="K15" s="39">
        <v>43628</v>
      </c>
    </row>
    <row r="16" spans="1:16" ht="15" customHeight="1" x14ac:dyDescent="0.2">
      <c r="A16" t="s">
        <v>452</v>
      </c>
      <c r="B16" s="39">
        <v>-69845</v>
      </c>
      <c r="C16" s="39">
        <v>-72157</v>
      </c>
      <c r="D16" s="39">
        <v>-80247</v>
      </c>
      <c r="E16" s="39">
        <v>-89413</v>
      </c>
      <c r="F16" s="39">
        <v>-97028</v>
      </c>
      <c r="G16" s="39">
        <v>-107682</v>
      </c>
      <c r="H16" s="39">
        <v>-121935</v>
      </c>
      <c r="I16" s="39">
        <v>-124107</v>
      </c>
      <c r="J16" s="39">
        <v>-124169</v>
      </c>
      <c r="K16" s="39">
        <v>-128573</v>
      </c>
      <c r="L16" s="11">
        <f>-Assumptions!B119</f>
        <v>-132318.54337374092</v>
      </c>
      <c r="M16" s="11">
        <f>-Assumptions!C119</f>
        <v>-136173.19985121646</v>
      </c>
      <c r="N16" s="11">
        <f>-Assumptions!D119</f>
        <v>-140140.14803354623</v>
      </c>
      <c r="O16" s="11">
        <f>-Assumptions!E119</f>
        <v>-144222.65911784762</v>
      </c>
      <c r="P16" s="11">
        <f>-Assumptions!F119</f>
        <v>-148424.09959463647</v>
      </c>
    </row>
    <row r="18" spans="1:16" ht="15" customHeight="1" x14ac:dyDescent="0.2">
      <c r="A18" t="s">
        <v>453</v>
      </c>
      <c r="B18" s="13">
        <f t="shared" ref="B18:P18" si="0">B8+B16+B19</f>
        <v>105424</v>
      </c>
      <c r="C18" s="13">
        <f t="shared" si="0"/>
        <v>115220</v>
      </c>
      <c r="D18" s="13">
        <f t="shared" si="0"/>
        <v>135712</v>
      </c>
      <c r="E18" s="13">
        <f t="shared" si="0"/>
        <v>152336</v>
      </c>
      <c r="F18" s="13">
        <f t="shared" si="0"/>
        <v>164662</v>
      </c>
      <c r="G18" s="13">
        <f t="shared" si="0"/>
        <v>183235</v>
      </c>
      <c r="H18" s="13">
        <f t="shared" si="0"/>
        <v>206912</v>
      </c>
      <c r="I18" s="13">
        <f t="shared" si="0"/>
        <v>224043</v>
      </c>
      <c r="J18" s="13">
        <f t="shared" si="0"/>
        <v>240481</v>
      </c>
      <c r="K18" s="13">
        <f t="shared" si="0"/>
        <v>254828</v>
      </c>
      <c r="L18" s="22">
        <f t="shared" si="0"/>
        <v>262251.55958750006</v>
      </c>
      <c r="M18" s="22">
        <f t="shared" si="0"/>
        <v>269891.37821848894</v>
      </c>
      <c r="N18" s="22">
        <f t="shared" si="0"/>
        <v>277753.75578925991</v>
      </c>
      <c r="O18" s="22">
        <f t="shared" si="0"/>
        <v>285845.17571871902</v>
      </c>
      <c r="P18" s="22">
        <f t="shared" si="0"/>
        <v>294172.31029455655</v>
      </c>
    </row>
    <row r="19" spans="1:16" ht="15" customHeight="1" x14ac:dyDescent="0.2">
      <c r="A19" s="5" t="s">
        <v>454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ht="15" customHeight="1" x14ac:dyDescent="0.2">
      <c r="A20" s="2" t="s">
        <v>455</v>
      </c>
    </row>
    <row r="21" spans="1:16" ht="15" customHeight="1" x14ac:dyDescent="0.2">
      <c r="A21" t="s">
        <v>456</v>
      </c>
      <c r="B21" s="39">
        <v>1227</v>
      </c>
      <c r="C21" s="39">
        <v>847</v>
      </c>
      <c r="D21" s="39">
        <v>965</v>
      </c>
      <c r="E21" s="39">
        <v>6059</v>
      </c>
      <c r="F21" s="39">
        <v>641</v>
      </c>
      <c r="G21" s="39">
        <v>1059</v>
      </c>
      <c r="H21" s="39">
        <v>1797</v>
      </c>
      <c r="I21" s="39">
        <v>1810</v>
      </c>
      <c r="J21" s="39">
        <v>2385</v>
      </c>
      <c r="K21" s="39">
        <v>2229</v>
      </c>
      <c r="L21" s="9">
        <f>Assumptions!B35</f>
        <v>2200</v>
      </c>
      <c r="M21" s="9">
        <f>Assumptions!C35</f>
        <v>2200</v>
      </c>
      <c r="N21" s="9">
        <f>Assumptions!D35</f>
        <v>2200</v>
      </c>
      <c r="O21" s="9">
        <f>Assumptions!E35</f>
        <v>2200</v>
      </c>
      <c r="P21" s="9">
        <f>Assumptions!F35</f>
        <v>2200</v>
      </c>
    </row>
    <row r="22" spans="1:16" ht="15" customHeight="1" x14ac:dyDescent="0.2">
      <c r="A22" t="s">
        <v>31</v>
      </c>
      <c r="B22" s="39">
        <v>-12733</v>
      </c>
      <c r="C22" s="39">
        <v>-12958</v>
      </c>
      <c r="D22" s="39">
        <v>-14201</v>
      </c>
      <c r="E22" s="39">
        <v>-14881</v>
      </c>
      <c r="F22" s="39">
        <v>-14745</v>
      </c>
      <c r="G22" s="39">
        <v>-15988</v>
      </c>
      <c r="H22" s="39">
        <v>-17153</v>
      </c>
      <c r="I22" s="39">
        <v>-19302</v>
      </c>
      <c r="J22" s="39">
        <v>-20282</v>
      </c>
      <c r="K22" s="39">
        <v>-21737</v>
      </c>
      <c r="L22" s="9">
        <f>-L8*Assumptions!B34</f>
        <v>-21701.355662868253</v>
      </c>
      <c r="M22" s="9">
        <f>-M8*Assumptions!C34</f>
        <v>-21927.487215764093</v>
      </c>
      <c r="N22" s="9">
        <f>-N8*Assumptions!D34</f>
        <v>-22148.376902608725</v>
      </c>
      <c r="O22" s="9">
        <f>-O8*Assumptions!E34</f>
        <v>-22793.595246338031</v>
      </c>
      <c r="P22" s="9">
        <f>-P8*Assumptions!F34</f>
        <v>-23457.609724127229</v>
      </c>
    </row>
    <row r="23" spans="1:16" ht="15" customHeight="1" x14ac:dyDescent="0.2">
      <c r="A23" t="s">
        <v>457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-5904</v>
      </c>
      <c r="K23" s="39">
        <v>-466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t="s">
        <v>458</v>
      </c>
      <c r="B24" s="39">
        <v>-826</v>
      </c>
      <c r="C24" s="39">
        <v>-534</v>
      </c>
      <c r="D24" s="39">
        <v>-553</v>
      </c>
      <c r="E24" s="39">
        <v>-1590</v>
      </c>
      <c r="F24" s="39">
        <v>59</v>
      </c>
      <c r="G24" s="39">
        <v>-1869</v>
      </c>
      <c r="H24" s="39">
        <v>2234</v>
      </c>
      <c r="I24" s="39">
        <v>-330</v>
      </c>
      <c r="J24" s="39">
        <v>931</v>
      </c>
      <c r="K24" s="39">
        <v>941</v>
      </c>
      <c r="L24" s="9">
        <f>-Assumptions!B38</f>
        <v>-3500</v>
      </c>
      <c r="M24" s="9">
        <f>-Assumptions!C38</f>
        <v>-3500</v>
      </c>
      <c r="N24" s="9">
        <f>-Assumptions!D38</f>
        <v>-3500</v>
      </c>
      <c r="O24" s="9">
        <f>-Assumptions!E38</f>
        <v>-3500</v>
      </c>
      <c r="P24" s="9">
        <f>-Assumptions!F38</f>
        <v>-3500</v>
      </c>
    </row>
    <row r="26" spans="1:16" ht="15" customHeight="1" x14ac:dyDescent="0.2">
      <c r="A26" t="s">
        <v>459</v>
      </c>
      <c r="B26" s="9">
        <f t="shared" ref="B26:P26" si="1">B18+B21+B22+B23+B24</f>
        <v>93092</v>
      </c>
      <c r="C26" s="9">
        <f t="shared" si="1"/>
        <v>102575</v>
      </c>
      <c r="D26" s="9">
        <f t="shared" si="1"/>
        <v>121923</v>
      </c>
      <c r="E26" s="9">
        <f t="shared" si="1"/>
        <v>141924</v>
      </c>
      <c r="F26" s="9">
        <f t="shared" si="1"/>
        <v>150617</v>
      </c>
      <c r="G26" s="9">
        <f t="shared" si="1"/>
        <v>166437</v>
      </c>
      <c r="H26" s="9">
        <f t="shared" si="1"/>
        <v>193790</v>
      </c>
      <c r="I26" s="9">
        <f t="shared" si="1"/>
        <v>206221</v>
      </c>
      <c r="J26" s="9">
        <f t="shared" si="1"/>
        <v>217611</v>
      </c>
      <c r="K26" s="9">
        <f t="shared" si="1"/>
        <v>235795</v>
      </c>
      <c r="L26" s="9">
        <f t="shared" si="1"/>
        <v>239250.20392463182</v>
      </c>
      <c r="M26" s="9">
        <f t="shared" si="1"/>
        <v>246663.89100272485</v>
      </c>
      <c r="N26" s="9">
        <f t="shared" si="1"/>
        <v>254305.37888665119</v>
      </c>
      <c r="O26" s="9">
        <f t="shared" si="1"/>
        <v>261751.58047238097</v>
      </c>
      <c r="P26" s="9">
        <f t="shared" si="1"/>
        <v>269414.70057042933</v>
      </c>
    </row>
    <row r="28" spans="1:16" ht="15" customHeight="1" x14ac:dyDescent="0.2">
      <c r="A28" s="2" t="s">
        <v>460</v>
      </c>
    </row>
    <row r="29" spans="1:16" ht="15" customHeight="1" x14ac:dyDescent="0.2">
      <c r="A29" t="s">
        <v>461</v>
      </c>
      <c r="B29" s="39">
        <v>-37698</v>
      </c>
      <c r="C29" s="39">
        <v>-34845</v>
      </c>
      <c r="D29" s="39">
        <v>-42648</v>
      </c>
      <c r="E29" s="39">
        <v>-47443</v>
      </c>
      <c r="F29" s="39">
        <v>-48919</v>
      </c>
      <c r="G29" s="39">
        <v>-51521</v>
      </c>
      <c r="H29" s="39">
        <v>-61499</v>
      </c>
      <c r="I29" s="39">
        <v>-69398</v>
      </c>
      <c r="J29" s="39">
        <v>-79712</v>
      </c>
      <c r="K29" s="39">
        <v>-84451</v>
      </c>
      <c r="L29" s="9">
        <f>-Assumptions!B55</f>
        <v>-86391.615109111648</v>
      </c>
      <c r="M29" s="9">
        <f>-Assumptions!C55</f>
        <v>-86483.348439312584</v>
      </c>
      <c r="N29" s="9">
        <f>-Assumptions!D55</f>
        <v>-86430.90955906063</v>
      </c>
      <c r="O29" s="9">
        <f>-Assumptions!E55</f>
        <v>-85148.778626389379</v>
      </c>
      <c r="P29" s="9">
        <f>-Assumptions!F55</f>
        <v>-84563.076941474006</v>
      </c>
    </row>
    <row r="30" spans="1:16" ht="15" customHeight="1" x14ac:dyDescent="0.2">
      <c r="A30" t="s">
        <v>462</v>
      </c>
      <c r="B30" s="39">
        <v>-3749</v>
      </c>
      <c r="C30" s="39">
        <v>64857</v>
      </c>
      <c r="D30" s="39">
        <v>134803</v>
      </c>
      <c r="E30" s="39">
        <v>244130</v>
      </c>
      <c r="F30" s="39">
        <v>46885</v>
      </c>
      <c r="G30" s="39">
        <v>239684</v>
      </c>
      <c r="H30" s="39">
        <v>-19870</v>
      </c>
      <c r="I30" s="39">
        <v>174179</v>
      </c>
      <c r="J30" s="39">
        <v>252361</v>
      </c>
      <c r="K30" s="39">
        <v>-120467</v>
      </c>
      <c r="L30" s="9">
        <f>Assumptions!B96</f>
        <v>0</v>
      </c>
      <c r="M30" s="9">
        <f>Assumptions!C96</f>
        <v>0</v>
      </c>
      <c r="N30" s="9">
        <f>Assumptions!D96</f>
        <v>0</v>
      </c>
      <c r="O30" s="9">
        <f>Assumptions!E96</f>
        <v>0</v>
      </c>
      <c r="P30" s="9">
        <f>Assumptions!F96</f>
        <v>0</v>
      </c>
    </row>
    <row r="31" spans="1:16" ht="15" customHeight="1" x14ac:dyDescent="0.2">
      <c r="A31" t="s">
        <v>463</v>
      </c>
      <c r="B31" s="39">
        <v>-7774</v>
      </c>
      <c r="C31" s="39">
        <v>-8811</v>
      </c>
      <c r="D31" s="39">
        <v>-6373</v>
      </c>
      <c r="E31" s="39">
        <v>-12461</v>
      </c>
      <c r="F31" s="39">
        <v>7676</v>
      </c>
      <c r="G31" s="39">
        <v>-26107</v>
      </c>
      <c r="H31" s="39">
        <v>29497</v>
      </c>
      <c r="I31" s="39">
        <v>-6821</v>
      </c>
      <c r="J31" s="39">
        <v>3352</v>
      </c>
      <c r="K31" s="39">
        <v>2075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t="s">
        <v>464</v>
      </c>
      <c r="B32" s="39">
        <v>1118</v>
      </c>
      <c r="C32" s="39">
        <v>690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4" spans="1:16" ht="15" customHeight="1" x14ac:dyDescent="0.2">
      <c r="A34" t="s">
        <v>465</v>
      </c>
      <c r="B34" s="39">
        <v>-884</v>
      </c>
      <c r="C34" s="39">
        <v>-787</v>
      </c>
      <c r="D34" s="39">
        <v>-859</v>
      </c>
      <c r="E34" s="39">
        <v>-720</v>
      </c>
      <c r="F34" s="39">
        <v>-630</v>
      </c>
      <c r="G34" s="39">
        <v>-573</v>
      </c>
      <c r="H34" s="39">
        <v>-573</v>
      </c>
      <c r="I34" s="39">
        <v>-669</v>
      </c>
      <c r="J34" s="39">
        <v>-1065</v>
      </c>
      <c r="K34" s="39">
        <v>-1017</v>
      </c>
      <c r="L34" s="9">
        <v>-1000</v>
      </c>
      <c r="M34" s="9">
        <v>-1000</v>
      </c>
      <c r="N34" s="9">
        <v>-1000</v>
      </c>
      <c r="O34" s="9">
        <v>-1000</v>
      </c>
      <c r="P34" s="9">
        <v>-1000</v>
      </c>
    </row>
    <row r="35" spans="1:16" ht="15" customHeight="1" x14ac:dyDescent="0.2">
      <c r="A35" t="s">
        <v>466</v>
      </c>
      <c r="B35" s="39">
        <v>-264</v>
      </c>
      <c r="C35" s="39">
        <v>-259</v>
      </c>
      <c r="D35" s="39">
        <v>-197</v>
      </c>
      <c r="E35" s="39">
        <v>-1269</v>
      </c>
      <c r="F35" s="39">
        <v>0</v>
      </c>
      <c r="G35" s="39">
        <v>0</v>
      </c>
      <c r="H35" s="39">
        <v>0</v>
      </c>
      <c r="I35" s="39">
        <v>-4021</v>
      </c>
      <c r="J35" s="39">
        <v>-3678</v>
      </c>
      <c r="K35" s="39">
        <v>-2523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t="s">
        <v>467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8" spans="1:16" ht="15" customHeight="1" x14ac:dyDescent="0.2">
      <c r="A38" s="2" t="s">
        <v>468</v>
      </c>
    </row>
    <row r="39" spans="1:16" ht="15" customHeight="1" x14ac:dyDescent="0.2">
      <c r="A39" t="s">
        <v>469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t="s">
        <v>470</v>
      </c>
      <c r="B40" s="39">
        <v>27598</v>
      </c>
      <c r="C40" s="39">
        <v>-18659</v>
      </c>
      <c r="D40" s="39">
        <v>-31478</v>
      </c>
      <c r="E40" s="39">
        <v>-40636</v>
      </c>
      <c r="F40" s="39">
        <v>-9590</v>
      </c>
      <c r="G40" s="39">
        <v>-42393</v>
      </c>
      <c r="H40" s="39">
        <v>-18813</v>
      </c>
      <c r="I40" s="39">
        <v>-33158</v>
      </c>
      <c r="J40" s="39">
        <v>278975</v>
      </c>
      <c r="K40" s="39">
        <v>0</v>
      </c>
      <c r="L40" s="9">
        <f>-Assumptions!B97</f>
        <v>0</v>
      </c>
      <c r="M40" s="9">
        <f>-Assumptions!C97</f>
        <v>0</v>
      </c>
      <c r="N40" s="9">
        <f>-Assumptions!D97</f>
        <v>0</v>
      </c>
      <c r="O40" s="9">
        <f>-Assumptions!E97</f>
        <v>0</v>
      </c>
      <c r="P40" s="9">
        <f>-Assumptions!F97</f>
        <v>0</v>
      </c>
    </row>
    <row r="42" spans="1:16" ht="15" customHeight="1" x14ac:dyDescent="0.2">
      <c r="A42" t="s">
        <v>34</v>
      </c>
      <c r="B42" s="9">
        <f t="shared" ref="B42:P42" si="2">B26+B29+B30+B31+B32+B34+B35+B36+B39+B40</f>
        <v>71439</v>
      </c>
      <c r="C42" s="9">
        <f t="shared" si="2"/>
        <v>104761</v>
      </c>
      <c r="D42" s="9">
        <f t="shared" si="2"/>
        <v>175171</v>
      </c>
      <c r="E42" s="9">
        <f t="shared" si="2"/>
        <v>283525</v>
      </c>
      <c r="F42" s="9">
        <f t="shared" si="2"/>
        <v>146039</v>
      </c>
      <c r="G42" s="9">
        <f t="shared" si="2"/>
        <v>285527</v>
      </c>
      <c r="H42" s="9">
        <f t="shared" si="2"/>
        <v>122532</v>
      </c>
      <c r="I42" s="9">
        <f t="shared" si="2"/>
        <v>266333</v>
      </c>
      <c r="J42" s="9">
        <f t="shared" si="2"/>
        <v>667844</v>
      </c>
      <c r="K42" s="9">
        <f t="shared" si="2"/>
        <v>29412</v>
      </c>
      <c r="L42" s="9">
        <f t="shared" si="2"/>
        <v>151858.58881552017</v>
      </c>
      <c r="M42" s="9">
        <f t="shared" si="2"/>
        <v>159180.54256341228</v>
      </c>
      <c r="N42" s="9">
        <f t="shared" si="2"/>
        <v>166874.46932759054</v>
      </c>
      <c r="O42" s="9">
        <f t="shared" si="2"/>
        <v>175602.80184599158</v>
      </c>
      <c r="P42" s="9">
        <f t="shared" si="2"/>
        <v>183851.62362895533</v>
      </c>
    </row>
    <row r="44" spans="1:16" ht="15" customHeight="1" x14ac:dyDescent="0.2">
      <c r="A44" s="2" t="s">
        <v>471</v>
      </c>
    </row>
    <row r="45" spans="1:16" ht="15" customHeight="1" x14ac:dyDescent="0.2">
      <c r="A45" t="s">
        <v>35</v>
      </c>
      <c r="B45" s="4">
        <f t="shared" ref="B45:P45" si="3">IF(B8=0,"-",B18/B8)</f>
        <v>0.60149826837603915</v>
      </c>
      <c r="C45" s="4">
        <f t="shared" si="3"/>
        <v>0.61491004765793023</v>
      </c>
      <c r="D45" s="4">
        <f t="shared" si="3"/>
        <v>0.62841557888302868</v>
      </c>
      <c r="E45" s="4">
        <f t="shared" si="3"/>
        <v>0.63014117948781589</v>
      </c>
      <c r="F45" s="4">
        <f t="shared" si="3"/>
        <v>0.62922541938935383</v>
      </c>
      <c r="G45" s="4">
        <f t="shared" si="3"/>
        <v>0.62985318836644133</v>
      </c>
      <c r="H45" s="4">
        <f t="shared" si="3"/>
        <v>0.62920446286570964</v>
      </c>
      <c r="I45" s="4">
        <f t="shared" si="3"/>
        <v>0.64352434295562255</v>
      </c>
      <c r="J45" s="4">
        <f t="shared" si="3"/>
        <v>0.65948443713149596</v>
      </c>
      <c r="K45" s="4">
        <f t="shared" si="3"/>
        <v>0.66465137023638432</v>
      </c>
      <c r="L45" s="4">
        <f t="shared" si="3"/>
        <v>0.66465137023638432</v>
      </c>
      <c r="M45" s="4">
        <f t="shared" si="3"/>
        <v>0.66465137023638432</v>
      </c>
      <c r="N45" s="4">
        <f t="shared" si="3"/>
        <v>0.66465137023638432</v>
      </c>
      <c r="O45" s="4">
        <f t="shared" si="3"/>
        <v>0.66465137023638432</v>
      </c>
      <c r="P45" s="4">
        <f t="shared" si="3"/>
        <v>0.66465137023638432</v>
      </c>
    </row>
    <row r="46" spans="1:16" ht="15" customHeight="1" x14ac:dyDescent="0.2">
      <c r="A46" t="s">
        <v>36</v>
      </c>
      <c r="C46" s="4">
        <f t="shared" ref="C46:P46" si="4">IF(B8=0,"-",(C8-B8)/B8)</f>
        <v>6.9082381938620069E-2</v>
      </c>
      <c r="D46" s="4">
        <f t="shared" si="4"/>
        <v>0.15253739786633363</v>
      </c>
      <c r="E46" s="4">
        <f t="shared" si="4"/>
        <v>0.11942081598821999</v>
      </c>
      <c r="F46" s="4">
        <f t="shared" si="4"/>
        <v>8.2486380502091006E-2</v>
      </c>
      <c r="G46" s="4">
        <f t="shared" si="4"/>
        <v>0.11168558217738546</v>
      </c>
      <c r="H46" s="4">
        <f t="shared" si="4"/>
        <v>0.130380830271177</v>
      </c>
      <c r="I46" s="4">
        <f t="shared" si="4"/>
        <v>5.8699030248109303E-2</v>
      </c>
      <c r="J46" s="4">
        <f t="shared" si="4"/>
        <v>4.7393364928909949E-2</v>
      </c>
      <c r="K46" s="4">
        <f t="shared" si="4"/>
        <v>5.1421911421911423E-2</v>
      </c>
      <c r="L46" s="4">
        <f t="shared" si="4"/>
        <v>2.9131647964509681E-2</v>
      </c>
      <c r="M46" s="4">
        <f t="shared" si="4"/>
        <v>2.9131642317039762E-2</v>
      </c>
      <c r="N46" s="4">
        <f t="shared" si="4"/>
        <v>2.913163667053497E-2</v>
      </c>
      <c r="O46" s="4">
        <f t="shared" si="4"/>
        <v>2.9131631024994449E-2</v>
      </c>
      <c r="P46" s="4">
        <f t="shared" si="4"/>
        <v>2.9131625380418073E-2</v>
      </c>
    </row>
    <row r="47" spans="1:16" ht="15" customHeight="1" x14ac:dyDescent="0.2">
      <c r="A47" t="s">
        <v>37</v>
      </c>
      <c r="B47" s="4">
        <f t="shared" ref="B47:P47" si="5">IF(B8=0,"-",-B22/B8)</f>
        <v>7.2648329139779422E-2</v>
      </c>
      <c r="C47" s="4">
        <f t="shared" si="5"/>
        <v>6.9154698815756463E-2</v>
      </c>
      <c r="D47" s="4">
        <f t="shared" si="5"/>
        <v>6.5757852184905471E-2</v>
      </c>
      <c r="E47" s="4">
        <f t="shared" si="5"/>
        <v>6.1555580374686142E-2</v>
      </c>
      <c r="F47" s="4">
        <f t="shared" si="5"/>
        <v>5.6345294050212082E-2</v>
      </c>
      <c r="G47" s="4">
        <f t="shared" si="5"/>
        <v>5.495725584960659E-2</v>
      </c>
      <c r="H47" s="4">
        <f t="shared" si="5"/>
        <v>5.2161035375113657E-2</v>
      </c>
      <c r="I47" s="4">
        <f t="shared" si="5"/>
        <v>5.5441619991383022E-2</v>
      </c>
      <c r="J47" s="4">
        <f t="shared" si="5"/>
        <v>5.5620457973399151E-2</v>
      </c>
      <c r="K47" s="4">
        <f t="shared" si="5"/>
        <v>5.6695209454331104E-2</v>
      </c>
      <c r="L47" s="4">
        <f t="shared" si="5"/>
        <v>5.5E-2</v>
      </c>
      <c r="M47" s="4">
        <f t="shared" si="5"/>
        <v>5.4000000000000006E-2</v>
      </c>
      <c r="N47" s="4">
        <f t="shared" si="5"/>
        <v>5.2999999999999999E-2</v>
      </c>
      <c r="O47" s="4">
        <f t="shared" si="5"/>
        <v>5.2999999999999999E-2</v>
      </c>
      <c r="P47" s="4">
        <f t="shared" si="5"/>
        <v>5.2999999999999999E-2</v>
      </c>
    </row>
    <row r="49" spans="1:16" ht="15" customHeight="1" x14ac:dyDescent="0.2">
      <c r="A49" s="2" t="s">
        <v>472</v>
      </c>
    </row>
    <row r="50" spans="1:16" ht="15" customHeight="1" x14ac:dyDescent="0.2">
      <c r="A50" t="s">
        <v>473</v>
      </c>
      <c r="B50" s="39">
        <v>58886</v>
      </c>
      <c r="C50" s="39">
        <v>69873</v>
      </c>
      <c r="D50" s="39">
        <v>81808</v>
      </c>
      <c r="E50" s="39">
        <v>93884</v>
      </c>
      <c r="F50" s="39">
        <v>104678</v>
      </c>
      <c r="G50" s="39">
        <v>119235</v>
      </c>
      <c r="H50" s="39">
        <v>132603</v>
      </c>
      <c r="I50" s="39">
        <v>139755</v>
      </c>
      <c r="J50" s="39">
        <v>144914</v>
      </c>
      <c r="K50" s="39">
        <v>152776</v>
      </c>
      <c r="L50" s="22">
        <f>L85</f>
        <v>154732.58881552017</v>
      </c>
      <c r="M50" s="22">
        <f>M85</f>
        <v>162054.54256341228</v>
      </c>
      <c r="N50" s="22">
        <f>N85</f>
        <v>169748.46932759054</v>
      </c>
      <c r="O50" s="22">
        <f>O85</f>
        <v>178476.80184599158</v>
      </c>
      <c r="P50" s="22">
        <f>P85</f>
        <v>186725.62362895533</v>
      </c>
    </row>
    <row r="51" spans="1:16" ht="15" customHeight="1" x14ac:dyDescent="0.2">
      <c r="A51" t="s">
        <v>41</v>
      </c>
      <c r="B51" s="39">
        <v>68569</v>
      </c>
      <c r="C51" s="39">
        <v>78658</v>
      </c>
      <c r="D51" s="39">
        <v>87185</v>
      </c>
      <c r="E51" s="39">
        <v>95914</v>
      </c>
      <c r="F51" s="39">
        <v>104503</v>
      </c>
      <c r="G51" s="39">
        <v>111626</v>
      </c>
      <c r="H51" s="39">
        <v>119637</v>
      </c>
      <c r="I51" s="39">
        <v>121656</v>
      </c>
      <c r="J51" s="39">
        <v>123123</v>
      </c>
      <c r="K51" s="39">
        <v>124547</v>
      </c>
      <c r="L51" s="9">
        <f>Assumptions!B75</f>
        <v>125568.0813546798</v>
      </c>
      <c r="M51" s="9">
        <f>Assumptions!C75</f>
        <v>127071.18695907327</v>
      </c>
      <c r="N51" s="9">
        <f>Assumptions!D75</f>
        <v>128592.28540395282</v>
      </c>
      <c r="O51" s="9">
        <f>Assumptions!E75</f>
        <v>130131.59207159618</v>
      </c>
      <c r="P51" s="9">
        <f>Assumptions!F75</f>
        <v>131689.32492250248</v>
      </c>
    </row>
    <row r="52" spans="1:16" ht="15" customHeight="1" x14ac:dyDescent="0.2">
      <c r="A52" t="s">
        <v>474</v>
      </c>
      <c r="B52" s="3">
        <f t="shared" ref="B52:P52" si="6">IF(B51=0,"-",B50/B51)</f>
        <v>0.85878458195394425</v>
      </c>
      <c r="C52" s="3">
        <f t="shared" si="6"/>
        <v>0.88831396679295171</v>
      </c>
      <c r="D52" s="3">
        <f t="shared" si="6"/>
        <v>0.93832654699776341</v>
      </c>
      <c r="E52" s="3">
        <f t="shared" si="6"/>
        <v>0.97883520653919132</v>
      </c>
      <c r="F52" s="3">
        <f t="shared" si="6"/>
        <v>1.0016745930738831</v>
      </c>
      <c r="G52" s="3">
        <f t="shared" si="6"/>
        <v>1.0681651228208482</v>
      </c>
      <c r="H52" s="3">
        <f t="shared" si="6"/>
        <v>1.1083778429749993</v>
      </c>
      <c r="I52" s="3">
        <f t="shared" si="6"/>
        <v>1.1487719471296114</v>
      </c>
      <c r="J52" s="3">
        <f t="shared" si="6"/>
        <v>1.1769856160100063</v>
      </c>
      <c r="K52" s="3">
        <f t="shared" si="6"/>
        <v>1.2266533918922173</v>
      </c>
      <c r="L52" s="3">
        <f t="shared" si="6"/>
        <v>1.2322605167348402</v>
      </c>
      <c r="M52" s="3">
        <f t="shared" si="6"/>
        <v>1.275305176897469</v>
      </c>
      <c r="N52" s="3">
        <f t="shared" si="6"/>
        <v>1.3200517340083966</v>
      </c>
      <c r="O52" s="3">
        <f t="shared" si="6"/>
        <v>1.3715101690894298</v>
      </c>
      <c r="P52" s="3">
        <f t="shared" si="6"/>
        <v>1.4179252854310023</v>
      </c>
    </row>
    <row r="54" spans="1:16" ht="15" customHeight="1" x14ac:dyDescent="0.2">
      <c r="A54" s="2" t="s">
        <v>475</v>
      </c>
    </row>
    <row r="55" spans="1:16" ht="15" customHeight="1" x14ac:dyDescent="0.2">
      <c r="A55" t="s">
        <v>476</v>
      </c>
      <c r="B55" s="9">
        <f t="shared" ref="B55:P55" si="7">B18</f>
        <v>105424</v>
      </c>
      <c r="C55" s="9">
        <f t="shared" si="7"/>
        <v>115220</v>
      </c>
      <c r="D55" s="9">
        <f t="shared" si="7"/>
        <v>135712</v>
      </c>
      <c r="E55" s="9">
        <f t="shared" si="7"/>
        <v>152336</v>
      </c>
      <c r="F55" s="9">
        <f t="shared" si="7"/>
        <v>164662</v>
      </c>
      <c r="G55" s="9">
        <f t="shared" si="7"/>
        <v>183235</v>
      </c>
      <c r="H55" s="9">
        <f t="shared" si="7"/>
        <v>206912</v>
      </c>
      <c r="I55" s="9">
        <f t="shared" si="7"/>
        <v>224043</v>
      </c>
      <c r="J55" s="9">
        <f t="shared" si="7"/>
        <v>240481</v>
      </c>
      <c r="K55" s="9">
        <f t="shared" si="7"/>
        <v>254828</v>
      </c>
      <c r="L55" s="9">
        <f t="shared" si="7"/>
        <v>262251.55958750006</v>
      </c>
      <c r="M55" s="9">
        <f t="shared" si="7"/>
        <v>269891.37821848894</v>
      </c>
      <c r="N55" s="9">
        <f t="shared" si="7"/>
        <v>277753.75578925991</v>
      </c>
      <c r="O55" s="9">
        <f t="shared" si="7"/>
        <v>285845.17571871902</v>
      </c>
      <c r="P55" s="9">
        <f t="shared" si="7"/>
        <v>294172.31029455655</v>
      </c>
    </row>
    <row r="56" spans="1:16" ht="15" customHeight="1" x14ac:dyDescent="0.2">
      <c r="A56" t="s">
        <v>477</v>
      </c>
      <c r="B56" s="9">
        <f t="shared" ref="B56:P56" si="8">B22+B23</f>
        <v>-12733</v>
      </c>
      <c r="C56" s="9">
        <f t="shared" si="8"/>
        <v>-12958</v>
      </c>
      <c r="D56" s="9">
        <f t="shared" si="8"/>
        <v>-14201</v>
      </c>
      <c r="E56" s="9">
        <f t="shared" si="8"/>
        <v>-14881</v>
      </c>
      <c r="F56" s="9">
        <f t="shared" si="8"/>
        <v>-14745</v>
      </c>
      <c r="G56" s="9">
        <f t="shared" si="8"/>
        <v>-15988</v>
      </c>
      <c r="H56" s="9">
        <f t="shared" si="8"/>
        <v>-17153</v>
      </c>
      <c r="I56" s="9">
        <f t="shared" si="8"/>
        <v>-19302</v>
      </c>
      <c r="J56" s="9">
        <f t="shared" si="8"/>
        <v>-26186</v>
      </c>
      <c r="K56" s="9">
        <f t="shared" si="8"/>
        <v>-22203</v>
      </c>
      <c r="L56" s="9">
        <f t="shared" si="8"/>
        <v>-21701.355662868253</v>
      </c>
      <c r="M56" s="9">
        <f t="shared" si="8"/>
        <v>-21927.487215764093</v>
      </c>
      <c r="N56" s="9">
        <f t="shared" si="8"/>
        <v>-22148.376902608725</v>
      </c>
      <c r="O56" s="9">
        <f t="shared" si="8"/>
        <v>-22793.595246338031</v>
      </c>
      <c r="P56" s="9">
        <f t="shared" si="8"/>
        <v>-23457.609724127229</v>
      </c>
    </row>
    <row r="57" spans="1:16" ht="15" customHeight="1" x14ac:dyDescent="0.2">
      <c r="A57" t="s">
        <v>478</v>
      </c>
      <c r="B57" s="9">
        <f t="shared" ref="B57:P57" si="9">B29</f>
        <v>-37698</v>
      </c>
      <c r="C57" s="9">
        <f t="shared" si="9"/>
        <v>-34845</v>
      </c>
      <c r="D57" s="9">
        <f t="shared" si="9"/>
        <v>-42648</v>
      </c>
      <c r="E57" s="9">
        <f t="shared" si="9"/>
        <v>-47443</v>
      </c>
      <c r="F57" s="9">
        <f t="shared" si="9"/>
        <v>-48919</v>
      </c>
      <c r="G57" s="9">
        <f t="shared" si="9"/>
        <v>-51521</v>
      </c>
      <c r="H57" s="9">
        <f t="shared" si="9"/>
        <v>-61499</v>
      </c>
      <c r="I57" s="9">
        <f t="shared" si="9"/>
        <v>-69398</v>
      </c>
      <c r="J57" s="9">
        <f t="shared" si="9"/>
        <v>-79712</v>
      </c>
      <c r="K57" s="9">
        <f t="shared" si="9"/>
        <v>-84451</v>
      </c>
      <c r="L57" s="9">
        <f t="shared" si="9"/>
        <v>-86391.615109111648</v>
      </c>
      <c r="M57" s="9">
        <f t="shared" si="9"/>
        <v>-86483.348439312584</v>
      </c>
      <c r="N57" s="9">
        <f t="shared" si="9"/>
        <v>-86430.90955906063</v>
      </c>
      <c r="O57" s="9">
        <f t="shared" si="9"/>
        <v>-85148.778626389379</v>
      </c>
      <c r="P57" s="9">
        <f t="shared" si="9"/>
        <v>-84563.076941474006</v>
      </c>
    </row>
    <row r="58" spans="1:16" ht="15" customHeight="1" x14ac:dyDescent="0.2">
      <c r="A58" t="s">
        <v>479</v>
      </c>
      <c r="B58" s="9">
        <f t="shared" ref="B58:P58" si="10">B39</f>
        <v>0</v>
      </c>
      <c r="C58" s="9">
        <f t="shared" si="10"/>
        <v>0</v>
      </c>
      <c r="D58" s="9">
        <f t="shared" si="10"/>
        <v>0</v>
      </c>
      <c r="E58" s="9">
        <f t="shared" si="10"/>
        <v>0</v>
      </c>
      <c r="F58" s="9">
        <f t="shared" si="10"/>
        <v>0</v>
      </c>
      <c r="G58" s="9">
        <f t="shared" si="10"/>
        <v>0</v>
      </c>
      <c r="H58" s="9">
        <f t="shared" si="10"/>
        <v>0</v>
      </c>
      <c r="I58" s="9">
        <f t="shared" si="10"/>
        <v>0</v>
      </c>
      <c r="J58" s="9">
        <f t="shared" si="10"/>
        <v>0</v>
      </c>
      <c r="K58" s="9">
        <f t="shared" si="10"/>
        <v>0</v>
      </c>
      <c r="L58" s="9">
        <f t="shared" si="10"/>
        <v>0</v>
      </c>
      <c r="M58" s="9">
        <f t="shared" si="10"/>
        <v>0</v>
      </c>
      <c r="N58" s="9">
        <f t="shared" si="10"/>
        <v>0</v>
      </c>
      <c r="O58" s="9">
        <f t="shared" si="10"/>
        <v>0</v>
      </c>
      <c r="P58" s="9">
        <f t="shared" si="10"/>
        <v>0</v>
      </c>
    </row>
    <row r="59" spans="1:16" ht="15" customHeight="1" x14ac:dyDescent="0.2">
      <c r="A59" t="s">
        <v>480</v>
      </c>
      <c r="B59" s="9">
        <f t="shared" ref="B59:P59" si="11">B55+B56+B57+B58</f>
        <v>54993</v>
      </c>
      <c r="C59" s="9">
        <f t="shared" si="11"/>
        <v>67417</v>
      </c>
      <c r="D59" s="9">
        <f t="shared" si="11"/>
        <v>78863</v>
      </c>
      <c r="E59" s="9">
        <f t="shared" si="11"/>
        <v>90012</v>
      </c>
      <c r="F59" s="9">
        <f t="shared" si="11"/>
        <v>100998</v>
      </c>
      <c r="G59" s="9">
        <f t="shared" si="11"/>
        <v>115726</v>
      </c>
      <c r="H59" s="9">
        <f t="shared" si="11"/>
        <v>128260</v>
      </c>
      <c r="I59" s="9">
        <f t="shared" si="11"/>
        <v>135343</v>
      </c>
      <c r="J59" s="9">
        <f t="shared" si="11"/>
        <v>134583</v>
      </c>
      <c r="K59" s="9">
        <f t="shared" si="11"/>
        <v>148174</v>
      </c>
      <c r="L59" s="9">
        <f t="shared" si="11"/>
        <v>154158.58881552017</v>
      </c>
      <c r="M59" s="9">
        <f t="shared" si="11"/>
        <v>161480.54256341228</v>
      </c>
      <c r="N59" s="9">
        <f t="shared" si="11"/>
        <v>169174.46932759054</v>
      </c>
      <c r="O59" s="9">
        <f t="shared" si="11"/>
        <v>177902.80184599158</v>
      </c>
      <c r="P59" s="9">
        <f t="shared" si="11"/>
        <v>186151.62362895533</v>
      </c>
    </row>
    <row r="60" spans="1:16" ht="15" customHeight="1" x14ac:dyDescent="0.2">
      <c r="A60" t="s">
        <v>481</v>
      </c>
      <c r="B60" s="9">
        <f>-B18*Assumptions!$B$121</f>
        <v>-15813.599999999999</v>
      </c>
      <c r="C60" s="9">
        <f>-C18*Assumptions!$B$121</f>
        <v>-17283</v>
      </c>
      <c r="D60" s="9">
        <f>-D18*Assumptions!$B$121</f>
        <v>-20356.8</v>
      </c>
      <c r="E60" s="9">
        <f>-E18*Assumptions!$B$121</f>
        <v>-22850.399999999998</v>
      </c>
      <c r="F60" s="9">
        <f>-F18*Assumptions!$B$121</f>
        <v>-24699.3</v>
      </c>
      <c r="G60" s="9">
        <f>-G18*Assumptions!$B$121</f>
        <v>-27485.25</v>
      </c>
      <c r="H60" s="9">
        <f>-H18*Assumptions!$B$121</f>
        <v>-31036.799999999999</v>
      </c>
      <c r="I60" s="9">
        <f>-I18*Assumptions!$B$121</f>
        <v>-33606.449999999997</v>
      </c>
      <c r="J60" s="9">
        <f>-J18*Assumptions!$B$121</f>
        <v>-36072.15</v>
      </c>
      <c r="K60" s="9">
        <f>-K18*Assumptions!$B$121</f>
        <v>-38224.199999999997</v>
      </c>
      <c r="L60" s="9">
        <f>-L18*Assumptions!B121</f>
        <v>-39337.733938125006</v>
      </c>
      <c r="M60" s="9">
        <f>-M18*Assumptions!C121</f>
        <v>-40483.706732773338</v>
      </c>
      <c r="N60" s="9">
        <f>-N18*Assumptions!D121</f>
        <v>-41663.063368388983</v>
      </c>
      <c r="O60" s="9">
        <f>-O18*Assumptions!E121</f>
        <v>-42876.776357807852</v>
      </c>
      <c r="P60" s="9">
        <f>-P18*Assumptions!F121</f>
        <v>-44125.846544183478</v>
      </c>
    </row>
    <row r="62" spans="1:16" ht="15" customHeight="1" x14ac:dyDescent="0.2">
      <c r="A62" t="s">
        <v>482</v>
      </c>
      <c r="B62" s="9">
        <f t="shared" ref="B62:P62" si="12">B59+B60</f>
        <v>39179.4</v>
      </c>
      <c r="C62" s="9">
        <f t="shared" si="12"/>
        <v>50134</v>
      </c>
      <c r="D62" s="9">
        <f t="shared" si="12"/>
        <v>58506.2</v>
      </c>
      <c r="E62" s="9">
        <f t="shared" si="12"/>
        <v>67161.600000000006</v>
      </c>
      <c r="F62" s="9">
        <f t="shared" si="12"/>
        <v>76298.7</v>
      </c>
      <c r="G62" s="9">
        <f t="shared" si="12"/>
        <v>88240.75</v>
      </c>
      <c r="H62" s="9">
        <f t="shared" si="12"/>
        <v>97223.2</v>
      </c>
      <c r="I62" s="9">
        <f t="shared" si="12"/>
        <v>101736.55</v>
      </c>
      <c r="J62" s="9">
        <f t="shared" si="12"/>
        <v>98510.85</v>
      </c>
      <c r="K62" s="9">
        <f t="shared" si="12"/>
        <v>109949.8</v>
      </c>
      <c r="L62" s="9">
        <f t="shared" si="12"/>
        <v>114820.85487739516</v>
      </c>
      <c r="M62" s="9">
        <f t="shared" si="12"/>
        <v>120996.83583063894</v>
      </c>
      <c r="N62" s="9">
        <f t="shared" si="12"/>
        <v>127511.40595920157</v>
      </c>
      <c r="O62" s="9">
        <f t="shared" si="12"/>
        <v>135026.02548818372</v>
      </c>
      <c r="P62" s="9">
        <f t="shared" si="12"/>
        <v>142025.77708477186</v>
      </c>
    </row>
    <row r="63" spans="1:16" ht="15" customHeight="1" x14ac:dyDescent="0.2">
      <c r="A63" t="s">
        <v>43</v>
      </c>
      <c r="B63" s="3">
        <f t="shared" ref="B63:P63" si="13">IF(B51=0,"-",B62/B51)</f>
        <v>0.5713864866047339</v>
      </c>
      <c r="C63" s="3">
        <f t="shared" si="13"/>
        <v>0.63736682854890792</v>
      </c>
      <c r="D63" s="3">
        <f t="shared" si="13"/>
        <v>0.6710580948557664</v>
      </c>
      <c r="E63" s="3">
        <f t="shared" si="13"/>
        <v>0.70022728694455461</v>
      </c>
      <c r="F63" s="3">
        <f t="shared" si="13"/>
        <v>0.73011014037874511</v>
      </c>
      <c r="G63" s="3">
        <f t="shared" si="13"/>
        <v>0.79050355651909054</v>
      </c>
      <c r="H63" s="3">
        <f t="shared" si="13"/>
        <v>0.81265160443675444</v>
      </c>
      <c r="I63" s="3">
        <f t="shared" si="13"/>
        <v>0.83626413822581713</v>
      </c>
      <c r="J63" s="3">
        <f t="shared" si="13"/>
        <v>0.80010111839380138</v>
      </c>
      <c r="K63" s="3">
        <f t="shared" si="13"/>
        <v>0.8827976587151839</v>
      </c>
      <c r="L63" s="3">
        <f t="shared" si="13"/>
        <v>0.91441115957702657</v>
      </c>
      <c r="M63" s="3">
        <f t="shared" si="13"/>
        <v>0.95219725829435486</v>
      </c>
      <c r="N63" s="3">
        <f t="shared" si="13"/>
        <v>0.99159452340896004</v>
      </c>
      <c r="O63" s="3">
        <f t="shared" si="13"/>
        <v>1.0376114157882177</v>
      </c>
      <c r="P63" s="3">
        <f t="shared" si="13"/>
        <v>1.0784911925727636</v>
      </c>
    </row>
    <row r="65" spans="1:16" ht="15" customHeight="1" x14ac:dyDescent="0.2">
      <c r="A65" s="2" t="s">
        <v>483</v>
      </c>
    </row>
    <row r="66" spans="1:16" ht="15" customHeight="1" x14ac:dyDescent="0.2">
      <c r="A66" t="s">
        <v>44</v>
      </c>
      <c r="B66" s="41">
        <v>0.6</v>
      </c>
      <c r="C66" s="41">
        <v>0.62</v>
      </c>
      <c r="D66" s="41">
        <v>0.64</v>
      </c>
      <c r="E66" s="41">
        <v>0.66</v>
      </c>
      <c r="F66" s="41">
        <v>0.68</v>
      </c>
      <c r="G66" s="41">
        <v>0.69</v>
      </c>
      <c r="H66" s="41">
        <v>0.7</v>
      </c>
      <c r="I66" s="41">
        <v>0.7</v>
      </c>
      <c r="J66" s="41">
        <v>0.72</v>
      </c>
      <c r="K66" s="41">
        <v>0.72</v>
      </c>
      <c r="L66" s="3">
        <f>Assumptions!B66</f>
        <v>0.72</v>
      </c>
      <c r="M66" s="3">
        <f>Assumptions!C66</f>
        <v>0.72</v>
      </c>
      <c r="N66" s="3">
        <f>Assumptions!D66</f>
        <v>0.72</v>
      </c>
      <c r="O66" s="3">
        <f>Assumptions!E66</f>
        <v>0.72</v>
      </c>
      <c r="P66" s="3">
        <f>Assumptions!F66</f>
        <v>0.72</v>
      </c>
    </row>
    <row r="67" spans="1:16" ht="15" customHeight="1" x14ac:dyDescent="0.2">
      <c r="A67" t="s">
        <v>45</v>
      </c>
      <c r="B67" s="4">
        <f t="shared" ref="B67:P67" si="14">IF(B52=0,"-",B66/B52)</f>
        <v>0.698661821145943</v>
      </c>
      <c r="C67" s="4">
        <f t="shared" si="14"/>
        <v>0.69795142615888828</v>
      </c>
      <c r="D67" s="4">
        <f t="shared" si="14"/>
        <v>0.68206532368472517</v>
      </c>
      <c r="E67" s="4">
        <f t="shared" si="14"/>
        <v>0.67427080226662695</v>
      </c>
      <c r="F67" s="4">
        <f t="shared" si="14"/>
        <v>0.67886318041995453</v>
      </c>
      <c r="G67" s="4">
        <f t="shared" si="14"/>
        <v>0.64596754308718074</v>
      </c>
      <c r="H67" s="4">
        <f t="shared" si="14"/>
        <v>0.63155358476052581</v>
      </c>
      <c r="I67" s="4">
        <f t="shared" si="14"/>
        <v>0.60934635612321553</v>
      </c>
      <c r="J67" s="4">
        <f t="shared" si="14"/>
        <v>0.61173219978746007</v>
      </c>
      <c r="K67" s="4">
        <f t="shared" si="14"/>
        <v>0.5869628737498036</v>
      </c>
      <c r="L67" s="4">
        <f t="shared" si="14"/>
        <v>0.58429203096420457</v>
      </c>
      <c r="M67" s="4">
        <f t="shared" si="14"/>
        <v>0.56457074984326361</v>
      </c>
      <c r="N67" s="4">
        <f t="shared" si="14"/>
        <v>0.54543316860293611</v>
      </c>
      <c r="O67" s="4">
        <f t="shared" si="14"/>
        <v>0.52496876525386671</v>
      </c>
      <c r="P67" s="4">
        <f t="shared" si="14"/>
        <v>0.50778415999623272</v>
      </c>
    </row>
    <row r="68" spans="1:16" ht="15" customHeight="1" x14ac:dyDescent="0.2">
      <c r="A68" t="s">
        <v>46</v>
      </c>
      <c r="B68" s="4">
        <f t="shared" ref="B68:P68" si="15">IF(B63=0,"-",B66/B63)</f>
        <v>1.0500773365595184</v>
      </c>
      <c r="C68" s="4">
        <f t="shared" si="15"/>
        <v>0.97275222403957395</v>
      </c>
      <c r="D68" s="4">
        <f t="shared" si="15"/>
        <v>0.95371772564275248</v>
      </c>
      <c r="E68" s="4">
        <f t="shared" si="15"/>
        <v>0.94255110062893066</v>
      </c>
      <c r="F68" s="4">
        <f t="shared" si="15"/>
        <v>0.93136632734240565</v>
      </c>
      <c r="G68" s="4">
        <f t="shared" si="15"/>
        <v>0.87286134807331073</v>
      </c>
      <c r="H68" s="4">
        <f t="shared" si="15"/>
        <v>0.86137773700104503</v>
      </c>
      <c r="I68" s="4">
        <f t="shared" si="15"/>
        <v>0.83705610225626859</v>
      </c>
      <c r="J68" s="4">
        <f t="shared" si="15"/>
        <v>0.89988625618396334</v>
      </c>
      <c r="K68" s="4">
        <f t="shared" si="15"/>
        <v>0.8155889324036969</v>
      </c>
      <c r="L68" s="4">
        <f t="shared" si="15"/>
        <v>0.78739196526543476</v>
      </c>
      <c r="M68" s="4">
        <f t="shared" si="15"/>
        <v>0.75614584449625122</v>
      </c>
      <c r="N68" s="4">
        <f t="shared" si="15"/>
        <v>0.72610324381859537</v>
      </c>
      <c r="O68" s="4">
        <f t="shared" si="15"/>
        <v>0.69390138643863575</v>
      </c>
      <c r="P68" s="4">
        <f t="shared" si="15"/>
        <v>0.66759933225085011</v>
      </c>
    </row>
    <row r="70" spans="1:16" ht="15" customHeight="1" x14ac:dyDescent="0.2">
      <c r="A70" s="2" t="s">
        <v>47</v>
      </c>
    </row>
    <row r="71" spans="1:16" ht="15" customHeight="1" x14ac:dyDescent="0.2">
      <c r="A71" t="s">
        <v>484</v>
      </c>
      <c r="B71" s="39">
        <v>6539</v>
      </c>
      <c r="C71" s="39">
        <v>13891</v>
      </c>
      <c r="D71" s="39">
        <v>15236</v>
      </c>
      <c r="E71" s="39">
        <v>16237</v>
      </c>
      <c r="F71" s="39">
        <v>16860</v>
      </c>
      <c r="G71" s="39">
        <v>18023</v>
      </c>
      <c r="H71" s="39">
        <v>20318</v>
      </c>
      <c r="I71" s="39">
        <v>21587</v>
      </c>
      <c r="J71" s="39">
        <v>22722</v>
      </c>
      <c r="K71" s="39">
        <v>22437</v>
      </c>
      <c r="L71" s="11">
        <f>Assumptions!B61*Assumptions!B64/1000</f>
        <v>22422.85</v>
      </c>
      <c r="M71" s="11">
        <f>Assumptions!C61*Assumptions!C64/1000</f>
        <v>22422.85</v>
      </c>
      <c r="N71" s="11">
        <f>Assumptions!D61*Assumptions!D64/1000</f>
        <v>22422.85</v>
      </c>
      <c r="O71" s="11">
        <f>Assumptions!E61*Assumptions!E64/1000</f>
        <v>22422.85</v>
      </c>
      <c r="P71" s="11">
        <f>Assumptions!F61*Assumptions!F64/1000</f>
        <v>22422.85</v>
      </c>
    </row>
    <row r="72" spans="1:16" ht="15" customHeight="1" x14ac:dyDescent="0.2">
      <c r="A72" t="s">
        <v>485</v>
      </c>
      <c r="B72" s="9">
        <f>-CFS!B24</f>
        <v>33460</v>
      </c>
      <c r="C72" s="9">
        <f>-CFS!C24</f>
        <v>31172</v>
      </c>
      <c r="D72" s="9">
        <f>-CFS!D24</f>
        <v>47814</v>
      </c>
      <c r="E72" s="9">
        <f>-CFS!E24</f>
        <v>73419</v>
      </c>
      <c r="F72" s="9">
        <f>-CFS!F24</f>
        <v>69651</v>
      </c>
      <c r="G72" s="9">
        <f>-CFS!G24</f>
        <v>76812</v>
      </c>
      <c r="H72" s="9">
        <f>-CFS!H24</f>
        <v>93920</v>
      </c>
      <c r="I72" s="9">
        <f>-CFS!I24</f>
        <v>98386</v>
      </c>
      <c r="J72" s="9">
        <f>-CFS!J24</f>
        <v>93908</v>
      </c>
      <c r="K72" s="9">
        <f>-CFS!K24</f>
        <v>79608</v>
      </c>
      <c r="L72" s="9">
        <f>-CFS!L24</f>
        <v>82610.5</v>
      </c>
      <c r="M72" s="9">
        <f>-CFS!M24</f>
        <v>82610.5</v>
      </c>
      <c r="N72" s="9">
        <f>-CFS!N24</f>
        <v>82610.5</v>
      </c>
      <c r="O72" s="9">
        <f>-CFS!O24</f>
        <v>82610.5</v>
      </c>
      <c r="P72" s="9">
        <f>-CFS!P24</f>
        <v>82610.5</v>
      </c>
    </row>
    <row r="73" spans="1:16" ht="15" customHeight="1" x14ac:dyDescent="0.2">
      <c r="A73" t="s">
        <v>486</v>
      </c>
      <c r="B73" s="4">
        <f t="shared" ref="B73:P73" si="16">IF(B18=0,"-",B72/B18)</f>
        <v>0.31738503566550313</v>
      </c>
      <c r="C73" s="4">
        <f t="shared" si="16"/>
        <v>0.27054330845339353</v>
      </c>
      <c r="D73" s="4">
        <f t="shared" si="16"/>
        <v>0.3523196180146192</v>
      </c>
      <c r="E73" s="4">
        <f t="shared" si="16"/>
        <v>0.481954364037391</v>
      </c>
      <c r="F73" s="4">
        <f t="shared" si="16"/>
        <v>0.42299376905418373</v>
      </c>
      <c r="G73" s="4">
        <f t="shared" si="16"/>
        <v>0.41919938876306384</v>
      </c>
      <c r="H73" s="4">
        <f t="shared" si="16"/>
        <v>0.45391277451283635</v>
      </c>
      <c r="I73" s="4">
        <f t="shared" si="16"/>
        <v>0.43913891529750987</v>
      </c>
      <c r="J73" s="4">
        <f t="shared" si="16"/>
        <v>0.39050070483738841</v>
      </c>
      <c r="K73" s="4">
        <f t="shared" si="16"/>
        <v>0.31239895144960522</v>
      </c>
      <c r="L73" s="4">
        <f t="shared" si="16"/>
        <v>0.31500479970429712</v>
      </c>
      <c r="M73" s="4">
        <f t="shared" si="16"/>
        <v>0.30608795488503215</v>
      </c>
      <c r="N73" s="4">
        <f t="shared" si="16"/>
        <v>0.2974235209358575</v>
      </c>
      <c r="O73" s="4">
        <f t="shared" si="16"/>
        <v>0.28900435276644804</v>
      </c>
      <c r="P73" s="4">
        <f t="shared" si="16"/>
        <v>0.28082350754658586</v>
      </c>
    </row>
    <row r="75" spans="1:16" ht="15" customHeight="1" x14ac:dyDescent="0.2">
      <c r="A75" s="7" t="s">
        <v>487</v>
      </c>
    </row>
    <row r="76" spans="1:16" ht="15" customHeight="1" x14ac:dyDescent="0.2">
      <c r="A76" s="51" t="s">
        <v>34</v>
      </c>
      <c r="B76" s="22">
        <f t="shared" ref="B76:P76" si="17">B42</f>
        <v>71439</v>
      </c>
      <c r="C76" s="22">
        <f t="shared" si="17"/>
        <v>104761</v>
      </c>
      <c r="D76" s="22">
        <f t="shared" si="17"/>
        <v>175171</v>
      </c>
      <c r="E76" s="22">
        <f t="shared" si="17"/>
        <v>283525</v>
      </c>
      <c r="F76" s="22">
        <f t="shared" si="17"/>
        <v>146039</v>
      </c>
      <c r="G76" s="22">
        <f t="shared" si="17"/>
        <v>285527</v>
      </c>
      <c r="H76" s="22">
        <f t="shared" si="17"/>
        <v>122532</v>
      </c>
      <c r="I76" s="22">
        <f t="shared" si="17"/>
        <v>266333</v>
      </c>
      <c r="J76" s="22">
        <f t="shared" si="17"/>
        <v>667844</v>
      </c>
      <c r="K76" s="22">
        <f t="shared" si="17"/>
        <v>29412</v>
      </c>
      <c r="L76" s="22">
        <f t="shared" si="17"/>
        <v>151858.58881552017</v>
      </c>
      <c r="M76" s="22">
        <f t="shared" si="17"/>
        <v>159180.54256341228</v>
      </c>
      <c r="N76" s="22">
        <f t="shared" si="17"/>
        <v>166874.46932759054</v>
      </c>
      <c r="O76" s="22">
        <f t="shared" si="17"/>
        <v>175602.80184599158</v>
      </c>
      <c r="P76" s="22">
        <f t="shared" si="17"/>
        <v>183851.62362895533</v>
      </c>
    </row>
    <row r="77" spans="1:16" ht="15" customHeight="1" x14ac:dyDescent="0.2">
      <c r="A77" s="51" t="s">
        <v>488</v>
      </c>
      <c r="B77" s="22">
        <f t="shared" ref="B77:P77" si="18">-B30</f>
        <v>3749</v>
      </c>
      <c r="C77" s="22">
        <f t="shared" si="18"/>
        <v>-64857</v>
      </c>
      <c r="D77" s="22">
        <f t="shared" si="18"/>
        <v>-134803</v>
      </c>
      <c r="E77" s="22">
        <f t="shared" si="18"/>
        <v>-244130</v>
      </c>
      <c r="F77" s="22">
        <f t="shared" si="18"/>
        <v>-46885</v>
      </c>
      <c r="G77" s="22">
        <f t="shared" si="18"/>
        <v>-239684</v>
      </c>
      <c r="H77" s="22">
        <f t="shared" si="18"/>
        <v>19870</v>
      </c>
      <c r="I77" s="22">
        <f t="shared" si="18"/>
        <v>-174179</v>
      </c>
      <c r="J77" s="22">
        <f t="shared" si="18"/>
        <v>-252361</v>
      </c>
      <c r="K77" s="22">
        <f t="shared" si="18"/>
        <v>120467</v>
      </c>
      <c r="L77" s="22">
        <f t="shared" si="18"/>
        <v>0</v>
      </c>
      <c r="M77" s="22">
        <f t="shared" si="18"/>
        <v>0</v>
      </c>
      <c r="N77" s="22">
        <f t="shared" si="18"/>
        <v>0</v>
      </c>
      <c r="O77" s="22">
        <f t="shared" si="18"/>
        <v>0</v>
      </c>
      <c r="P77" s="22">
        <f t="shared" si="18"/>
        <v>0</v>
      </c>
    </row>
    <row r="78" spans="1:16" ht="15" customHeight="1" x14ac:dyDescent="0.2">
      <c r="A78" s="51" t="s">
        <v>489</v>
      </c>
      <c r="B78" s="22">
        <f t="shared" ref="B78:P78" si="19">-B31</f>
        <v>7774</v>
      </c>
      <c r="C78" s="22">
        <f t="shared" si="19"/>
        <v>8811</v>
      </c>
      <c r="D78" s="22">
        <f t="shared" si="19"/>
        <v>6373</v>
      </c>
      <c r="E78" s="22">
        <f t="shared" si="19"/>
        <v>12461</v>
      </c>
      <c r="F78" s="22">
        <f t="shared" si="19"/>
        <v>-7676</v>
      </c>
      <c r="G78" s="22">
        <f t="shared" si="19"/>
        <v>26107</v>
      </c>
      <c r="H78" s="22">
        <f t="shared" si="19"/>
        <v>-29497</v>
      </c>
      <c r="I78" s="22">
        <f t="shared" si="19"/>
        <v>6821</v>
      </c>
      <c r="J78" s="22">
        <f t="shared" si="19"/>
        <v>-3352</v>
      </c>
      <c r="K78" s="22">
        <f t="shared" si="19"/>
        <v>-2075</v>
      </c>
      <c r="L78" s="22">
        <f t="shared" si="19"/>
        <v>0</v>
      </c>
      <c r="M78" s="22">
        <f t="shared" si="19"/>
        <v>0</v>
      </c>
      <c r="N78" s="22">
        <f t="shared" si="19"/>
        <v>0</v>
      </c>
      <c r="O78" s="22">
        <f t="shared" si="19"/>
        <v>0</v>
      </c>
      <c r="P78" s="22">
        <f t="shared" si="19"/>
        <v>0</v>
      </c>
    </row>
    <row r="79" spans="1:16" ht="15" customHeight="1" x14ac:dyDescent="0.2">
      <c r="A79" s="51" t="s">
        <v>490</v>
      </c>
      <c r="B79" s="44">
        <v>-292</v>
      </c>
      <c r="C79" s="44">
        <v>-155</v>
      </c>
      <c r="D79" s="44">
        <v>553</v>
      </c>
      <c r="E79" s="44">
        <v>1590</v>
      </c>
      <c r="F79" s="44">
        <v>-59</v>
      </c>
      <c r="G79" s="44">
        <v>1869</v>
      </c>
      <c r="H79" s="44">
        <v>-2234</v>
      </c>
      <c r="I79" s="44">
        <v>330</v>
      </c>
      <c r="J79" s="44">
        <v>-931</v>
      </c>
      <c r="K79" s="44">
        <v>-941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</row>
    <row r="80" spans="1:16" ht="15" customHeight="1" x14ac:dyDescent="0.2">
      <c r="A80" s="51" t="s">
        <v>491</v>
      </c>
      <c r="B80" s="22">
        <f t="shared" ref="B80:P80" si="20">-B40</f>
        <v>-27598</v>
      </c>
      <c r="C80" s="22">
        <f t="shared" si="20"/>
        <v>18659</v>
      </c>
      <c r="D80" s="22">
        <f t="shared" si="20"/>
        <v>31478</v>
      </c>
      <c r="E80" s="22">
        <f t="shared" si="20"/>
        <v>40636</v>
      </c>
      <c r="F80" s="22">
        <f t="shared" si="20"/>
        <v>9590</v>
      </c>
      <c r="G80" s="22">
        <f t="shared" si="20"/>
        <v>42393</v>
      </c>
      <c r="H80" s="22">
        <f t="shared" si="20"/>
        <v>18813</v>
      </c>
      <c r="I80" s="22">
        <f t="shared" si="20"/>
        <v>33158</v>
      </c>
      <c r="J80" s="22">
        <f t="shared" si="20"/>
        <v>-278975</v>
      </c>
      <c r="K80" s="22">
        <f t="shared" si="20"/>
        <v>0</v>
      </c>
      <c r="L80" s="22">
        <f t="shared" si="20"/>
        <v>0</v>
      </c>
      <c r="M80" s="22">
        <f t="shared" si="20"/>
        <v>0</v>
      </c>
      <c r="N80" s="22">
        <f t="shared" si="20"/>
        <v>0</v>
      </c>
      <c r="O80" s="22">
        <f t="shared" si="20"/>
        <v>0</v>
      </c>
      <c r="P80" s="22">
        <f t="shared" si="20"/>
        <v>0</v>
      </c>
    </row>
    <row r="81" spans="1:16" ht="15" customHeight="1" x14ac:dyDescent="0.2">
      <c r="A81" s="51" t="s">
        <v>492</v>
      </c>
      <c r="B81" s="22">
        <f t="shared" ref="B81:P81" si="21">-B23</f>
        <v>0</v>
      </c>
      <c r="C81" s="22">
        <f t="shared" si="21"/>
        <v>0</v>
      </c>
      <c r="D81" s="22">
        <f t="shared" si="21"/>
        <v>0</v>
      </c>
      <c r="E81" s="22">
        <f t="shared" si="21"/>
        <v>0</v>
      </c>
      <c r="F81" s="22">
        <f t="shared" si="21"/>
        <v>0</v>
      </c>
      <c r="G81" s="22">
        <f t="shared" si="21"/>
        <v>0</v>
      </c>
      <c r="H81" s="22">
        <f t="shared" si="21"/>
        <v>0</v>
      </c>
      <c r="I81" s="22">
        <f t="shared" si="21"/>
        <v>0</v>
      </c>
      <c r="J81" s="22">
        <f t="shared" si="21"/>
        <v>5904</v>
      </c>
      <c r="K81" s="22">
        <f t="shared" si="21"/>
        <v>466</v>
      </c>
      <c r="L81" s="22">
        <f t="shared" si="21"/>
        <v>0</v>
      </c>
      <c r="M81" s="22">
        <f t="shared" si="21"/>
        <v>0</v>
      </c>
      <c r="N81" s="22">
        <f t="shared" si="21"/>
        <v>0</v>
      </c>
      <c r="O81" s="22">
        <f t="shared" si="21"/>
        <v>0</v>
      </c>
      <c r="P81" s="22">
        <f t="shared" si="21"/>
        <v>0</v>
      </c>
    </row>
    <row r="82" spans="1:16" ht="15" customHeight="1" x14ac:dyDescent="0.2">
      <c r="A82" s="51" t="s">
        <v>493</v>
      </c>
      <c r="B82" s="44">
        <v>2659</v>
      </c>
      <c r="C82" s="44">
        <v>2383</v>
      </c>
      <c r="D82" s="44">
        <v>2453</v>
      </c>
      <c r="E82" s="44">
        <v>2727</v>
      </c>
      <c r="F82" s="44">
        <v>2784</v>
      </c>
      <c r="G82" s="44">
        <v>2766</v>
      </c>
      <c r="H82" s="44">
        <v>2790</v>
      </c>
      <c r="I82" s="44">
        <v>2729</v>
      </c>
      <c r="J82" s="44">
        <v>2742</v>
      </c>
      <c r="K82" s="44">
        <v>2550</v>
      </c>
      <c r="L82" s="44">
        <v>2500</v>
      </c>
      <c r="M82" s="44">
        <v>2500</v>
      </c>
      <c r="N82" s="44">
        <v>2500</v>
      </c>
      <c r="O82" s="44">
        <v>2500</v>
      </c>
      <c r="P82" s="44">
        <v>2500</v>
      </c>
    </row>
    <row r="83" spans="1:16" ht="15" customHeight="1" x14ac:dyDescent="0.2">
      <c r="A83" s="51" t="s">
        <v>494</v>
      </c>
      <c r="B83" s="22">
        <f t="shared" ref="B83:P83" si="22">-B35</f>
        <v>264</v>
      </c>
      <c r="C83" s="22">
        <f t="shared" si="22"/>
        <v>259</v>
      </c>
      <c r="D83" s="22">
        <f t="shared" si="22"/>
        <v>197</v>
      </c>
      <c r="E83" s="22">
        <f t="shared" si="22"/>
        <v>1269</v>
      </c>
      <c r="F83" s="22">
        <f t="shared" si="22"/>
        <v>0</v>
      </c>
      <c r="G83" s="22">
        <f t="shared" si="22"/>
        <v>0</v>
      </c>
      <c r="H83" s="22">
        <f t="shared" si="22"/>
        <v>0</v>
      </c>
      <c r="I83" s="22">
        <f t="shared" si="22"/>
        <v>4021</v>
      </c>
      <c r="J83" s="22">
        <f t="shared" si="22"/>
        <v>3678</v>
      </c>
      <c r="K83" s="22">
        <f t="shared" si="22"/>
        <v>2523</v>
      </c>
      <c r="L83" s="22">
        <f t="shared" si="22"/>
        <v>0</v>
      </c>
      <c r="M83" s="22">
        <f t="shared" si="22"/>
        <v>0</v>
      </c>
      <c r="N83" s="22">
        <f t="shared" si="22"/>
        <v>0</v>
      </c>
      <c r="O83" s="22">
        <f t="shared" si="22"/>
        <v>0</v>
      </c>
      <c r="P83" s="22">
        <f t="shared" si="22"/>
        <v>0</v>
      </c>
    </row>
    <row r="84" spans="1:16" ht="15" customHeight="1" x14ac:dyDescent="0.2">
      <c r="A84" s="51" t="s">
        <v>495</v>
      </c>
      <c r="B84" s="44">
        <v>171</v>
      </c>
      <c r="C84" s="44">
        <v>168</v>
      </c>
      <c r="D84" s="44">
        <v>153</v>
      </c>
      <c r="E84" s="44">
        <v>-4723</v>
      </c>
      <c r="F84" s="44">
        <v>177</v>
      </c>
      <c r="G84" s="44">
        <v>257</v>
      </c>
      <c r="H84" s="44">
        <v>329</v>
      </c>
      <c r="I84" s="44">
        <v>542</v>
      </c>
      <c r="J84" s="44">
        <v>365</v>
      </c>
      <c r="K84" s="44">
        <v>374</v>
      </c>
      <c r="L84" s="44">
        <v>374</v>
      </c>
      <c r="M84" s="44">
        <v>374</v>
      </c>
      <c r="N84" s="44">
        <v>374</v>
      </c>
      <c r="O84" s="44">
        <v>374</v>
      </c>
      <c r="P84" s="44">
        <v>374</v>
      </c>
    </row>
    <row r="85" spans="1:16" ht="15" customHeight="1" x14ac:dyDescent="0.2">
      <c r="A85" s="7" t="s">
        <v>496</v>
      </c>
      <c r="B85" s="13">
        <f t="shared" ref="B85:P85" si="23">SUM(B76:B84)</f>
        <v>58166</v>
      </c>
      <c r="C85" s="13">
        <f t="shared" si="23"/>
        <v>70029</v>
      </c>
      <c r="D85" s="13">
        <f t="shared" si="23"/>
        <v>81575</v>
      </c>
      <c r="E85" s="13">
        <f t="shared" si="23"/>
        <v>93355</v>
      </c>
      <c r="F85" s="13">
        <f t="shared" si="23"/>
        <v>103970</v>
      </c>
      <c r="G85" s="13">
        <f t="shared" si="23"/>
        <v>119235</v>
      </c>
      <c r="H85" s="13">
        <f t="shared" si="23"/>
        <v>132603</v>
      </c>
      <c r="I85" s="13">
        <f t="shared" si="23"/>
        <v>139755</v>
      </c>
      <c r="J85" s="13">
        <f t="shared" si="23"/>
        <v>144914</v>
      </c>
      <c r="K85" s="13">
        <f t="shared" si="23"/>
        <v>152776</v>
      </c>
      <c r="L85" s="13">
        <f t="shared" si="23"/>
        <v>154732.58881552017</v>
      </c>
      <c r="M85" s="13">
        <f t="shared" si="23"/>
        <v>162054.54256341228</v>
      </c>
      <c r="N85" s="13">
        <f t="shared" si="23"/>
        <v>169748.46932759054</v>
      </c>
      <c r="O85" s="13">
        <f t="shared" si="23"/>
        <v>178476.80184599158</v>
      </c>
      <c r="P85" s="13">
        <f t="shared" si="23"/>
        <v>186725.62362895533</v>
      </c>
    </row>
    <row r="86" spans="1:16" ht="15" customHeight="1" x14ac:dyDescent="0.2">
      <c r="A86" s="5" t="s">
        <v>497</v>
      </c>
      <c r="B86" s="22">
        <f t="shared" ref="B86:P86" si="24">B85-B50</f>
        <v>-720</v>
      </c>
      <c r="C86" s="22">
        <f t="shared" si="24"/>
        <v>156</v>
      </c>
      <c r="D86" s="22">
        <f t="shared" si="24"/>
        <v>-233</v>
      </c>
      <c r="E86" s="22">
        <f t="shared" si="24"/>
        <v>-529</v>
      </c>
      <c r="F86" s="22">
        <f t="shared" si="24"/>
        <v>-708</v>
      </c>
      <c r="G86" s="22">
        <f t="shared" si="24"/>
        <v>0</v>
      </c>
      <c r="H86" s="22">
        <f t="shared" si="24"/>
        <v>0</v>
      </c>
      <c r="I86" s="22">
        <f t="shared" si="24"/>
        <v>0</v>
      </c>
      <c r="J86" s="22">
        <f t="shared" si="24"/>
        <v>0</v>
      </c>
      <c r="K86" s="22">
        <f t="shared" si="24"/>
        <v>0</v>
      </c>
      <c r="L86" s="22">
        <f t="shared" si="24"/>
        <v>0</v>
      </c>
      <c r="M86" s="22">
        <f t="shared" si="24"/>
        <v>0</v>
      </c>
      <c r="N86" s="22">
        <f t="shared" si="24"/>
        <v>0</v>
      </c>
      <c r="O86" s="22">
        <f t="shared" si="24"/>
        <v>0</v>
      </c>
      <c r="P86" s="22">
        <f t="shared" si="24"/>
        <v>0</v>
      </c>
    </row>
    <row r="88" spans="1:16" ht="15" customHeight="1" x14ac:dyDescent="0.2">
      <c r="A88" s="7" t="s">
        <v>498</v>
      </c>
    </row>
    <row r="89" spans="1:16" ht="15" customHeight="1" x14ac:dyDescent="0.2">
      <c r="A89" s="51" t="s">
        <v>499</v>
      </c>
      <c r="B89" s="22">
        <f t="shared" ref="B89:P89" si="25">B50</f>
        <v>58886</v>
      </c>
      <c r="C89" s="22">
        <f t="shared" si="25"/>
        <v>69873</v>
      </c>
      <c r="D89" s="22">
        <f t="shared" si="25"/>
        <v>81808</v>
      </c>
      <c r="E89" s="22">
        <f t="shared" si="25"/>
        <v>93884</v>
      </c>
      <c r="F89" s="22">
        <f t="shared" si="25"/>
        <v>104678</v>
      </c>
      <c r="G89" s="22">
        <f t="shared" si="25"/>
        <v>119235</v>
      </c>
      <c r="H89" s="22">
        <f t="shared" si="25"/>
        <v>132603</v>
      </c>
      <c r="I89" s="22">
        <f t="shared" si="25"/>
        <v>139755</v>
      </c>
      <c r="J89" s="22">
        <f t="shared" si="25"/>
        <v>144914</v>
      </c>
      <c r="K89" s="22">
        <f t="shared" si="25"/>
        <v>152776</v>
      </c>
      <c r="L89" s="22">
        <f t="shared" si="25"/>
        <v>154732.58881552017</v>
      </c>
      <c r="M89" s="22">
        <f t="shared" si="25"/>
        <v>162054.54256341228</v>
      </c>
      <c r="N89" s="22">
        <f t="shared" si="25"/>
        <v>169748.46932759054</v>
      </c>
      <c r="O89" s="22">
        <f t="shared" si="25"/>
        <v>178476.80184599158</v>
      </c>
      <c r="P89" s="22">
        <f t="shared" si="25"/>
        <v>186725.62362895533</v>
      </c>
    </row>
    <row r="90" spans="1:16" ht="15" customHeight="1" x14ac:dyDescent="0.2">
      <c r="A90" s="51" t="s">
        <v>500</v>
      </c>
      <c r="B90" s="22">
        <f t="shared" ref="B90:P90" si="26">-B71</f>
        <v>-6539</v>
      </c>
      <c r="C90" s="22">
        <f t="shared" si="26"/>
        <v>-13891</v>
      </c>
      <c r="D90" s="22">
        <f t="shared" si="26"/>
        <v>-15236</v>
      </c>
      <c r="E90" s="22">
        <f t="shared" si="26"/>
        <v>-16237</v>
      </c>
      <c r="F90" s="22">
        <f t="shared" si="26"/>
        <v>-16860</v>
      </c>
      <c r="G90" s="22">
        <f t="shared" si="26"/>
        <v>-18023</v>
      </c>
      <c r="H90" s="22">
        <f t="shared" si="26"/>
        <v>-20318</v>
      </c>
      <c r="I90" s="22">
        <f t="shared" si="26"/>
        <v>-21587</v>
      </c>
      <c r="J90" s="22">
        <f t="shared" si="26"/>
        <v>-22722</v>
      </c>
      <c r="K90" s="22">
        <f t="shared" si="26"/>
        <v>-22437</v>
      </c>
      <c r="L90" s="22">
        <f t="shared" si="26"/>
        <v>-22422.85</v>
      </c>
      <c r="M90" s="22">
        <f t="shared" si="26"/>
        <v>-22422.85</v>
      </c>
      <c r="N90" s="22">
        <f t="shared" si="26"/>
        <v>-22422.85</v>
      </c>
      <c r="O90" s="22">
        <f t="shared" si="26"/>
        <v>-22422.85</v>
      </c>
      <c r="P90" s="22">
        <f t="shared" si="26"/>
        <v>-22422.85</v>
      </c>
    </row>
    <row r="91" spans="1:16" ht="15" customHeight="1" x14ac:dyDescent="0.2">
      <c r="A91" s="51" t="s">
        <v>501</v>
      </c>
      <c r="B91" s="44">
        <v>0</v>
      </c>
      <c r="C91" s="44">
        <v>0</v>
      </c>
      <c r="D91" s="44">
        <v>0</v>
      </c>
      <c r="E91" s="44">
        <v>-423</v>
      </c>
      <c r="F91" s="44">
        <v>-555</v>
      </c>
      <c r="G91" s="44">
        <v>-356</v>
      </c>
      <c r="H91" s="44">
        <v>-196</v>
      </c>
      <c r="I91" s="44">
        <v>78</v>
      </c>
      <c r="J91" s="44">
        <v>-90</v>
      </c>
      <c r="K91" s="44">
        <v>-25</v>
      </c>
      <c r="L91" s="44">
        <v>-25</v>
      </c>
      <c r="M91" s="44">
        <v>-25</v>
      </c>
      <c r="N91" s="44">
        <v>-25</v>
      </c>
      <c r="O91" s="44">
        <v>-25</v>
      </c>
      <c r="P91" s="44">
        <v>-25</v>
      </c>
    </row>
    <row r="92" spans="1:16" ht="15" customHeight="1" x14ac:dyDescent="0.2">
      <c r="A92" s="51" t="s">
        <v>502</v>
      </c>
      <c r="B92" s="44">
        <v>0</v>
      </c>
      <c r="C92" s="44">
        <v>0</v>
      </c>
      <c r="D92" s="44">
        <v>-297</v>
      </c>
      <c r="E92" s="44">
        <v>-456</v>
      </c>
      <c r="F92" s="44">
        <v>-447</v>
      </c>
      <c r="G92" s="44">
        <v>-418</v>
      </c>
      <c r="H92" s="44">
        <v>-532</v>
      </c>
      <c r="I92" s="44">
        <v>-446</v>
      </c>
      <c r="J92" s="44">
        <v>-374</v>
      </c>
      <c r="K92" s="44">
        <v>-432</v>
      </c>
      <c r="L92" s="44">
        <v>-432</v>
      </c>
      <c r="M92" s="44">
        <v>-432</v>
      </c>
      <c r="N92" s="44">
        <v>-432</v>
      </c>
      <c r="O92" s="44">
        <v>-432</v>
      </c>
      <c r="P92" s="44">
        <v>-432</v>
      </c>
    </row>
    <row r="93" spans="1:16" ht="15" customHeight="1" x14ac:dyDescent="0.2">
      <c r="A93" s="7" t="s">
        <v>503</v>
      </c>
      <c r="B93" s="13">
        <f t="shared" ref="B93:P93" si="27">SUM(B89:B92)</f>
        <v>52347</v>
      </c>
      <c r="C93" s="13">
        <f t="shared" si="27"/>
        <v>55982</v>
      </c>
      <c r="D93" s="13">
        <f t="shared" si="27"/>
        <v>66275</v>
      </c>
      <c r="E93" s="13">
        <f t="shared" si="27"/>
        <v>76768</v>
      </c>
      <c r="F93" s="13">
        <f t="shared" si="27"/>
        <v>86816</v>
      </c>
      <c r="G93" s="13">
        <f t="shared" si="27"/>
        <v>100438</v>
      </c>
      <c r="H93" s="13">
        <f t="shared" si="27"/>
        <v>111557</v>
      </c>
      <c r="I93" s="13">
        <f t="shared" si="27"/>
        <v>117800</v>
      </c>
      <c r="J93" s="13">
        <f t="shared" si="27"/>
        <v>121728</v>
      </c>
      <c r="K93" s="13">
        <f t="shared" si="27"/>
        <v>129882</v>
      </c>
      <c r="L93" s="13">
        <f t="shared" si="27"/>
        <v>131852.73881552016</v>
      </c>
      <c r="M93" s="13">
        <f t="shared" si="27"/>
        <v>139174.69256341227</v>
      </c>
      <c r="N93" s="13">
        <f t="shared" si="27"/>
        <v>146868.61932759054</v>
      </c>
      <c r="O93" s="13">
        <f t="shared" si="27"/>
        <v>155596.95184599157</v>
      </c>
      <c r="P93" s="13">
        <f t="shared" si="27"/>
        <v>163845.77362895533</v>
      </c>
    </row>
    <row r="94" spans="1:16" ht="15" customHeight="1" x14ac:dyDescent="0.2">
      <c r="A94" s="5" t="s">
        <v>504</v>
      </c>
      <c r="B94" s="52">
        <f t="shared" ref="B94:P94" si="28">IF(B51=0,"-",B93/B51)</f>
        <v>0.76342078781956857</v>
      </c>
      <c r="C94" s="52">
        <f t="shared" si="28"/>
        <v>0.71171400239009386</v>
      </c>
      <c r="D94" s="52">
        <f t="shared" si="28"/>
        <v>0.76016516602626594</v>
      </c>
      <c r="E94" s="52">
        <f t="shared" si="28"/>
        <v>0.80038367704401858</v>
      </c>
      <c r="F94" s="52">
        <f t="shared" si="28"/>
        <v>0.8307512702984603</v>
      </c>
      <c r="G94" s="52">
        <f t="shared" si="28"/>
        <v>0.89977245444609677</v>
      </c>
      <c r="H94" s="52">
        <f t="shared" si="28"/>
        <v>0.93246236532176496</v>
      </c>
      <c r="I94" s="52">
        <f t="shared" si="28"/>
        <v>0.96830407049385148</v>
      </c>
      <c r="J94" s="52">
        <f t="shared" si="28"/>
        <v>0.98866986671864721</v>
      </c>
      <c r="K94" s="52">
        <f t="shared" si="28"/>
        <v>1.042835234891246</v>
      </c>
      <c r="L94" s="52">
        <f t="shared" si="28"/>
        <v>1.0500498008175239</v>
      </c>
      <c r="M94" s="52">
        <f t="shared" si="28"/>
        <v>1.095249803625721</v>
      </c>
      <c r="N94" s="52">
        <f t="shared" si="28"/>
        <v>1.1421262081642412</v>
      </c>
      <c r="O94" s="52">
        <f t="shared" si="28"/>
        <v>1.1956892970339192</v>
      </c>
      <c r="P94" s="52">
        <f t="shared" si="28"/>
        <v>1.2441841715368844</v>
      </c>
    </row>
    <row r="96" spans="1:16" ht="15" customHeight="1" x14ac:dyDescent="0.2">
      <c r="A96" s="7" t="s">
        <v>505</v>
      </c>
    </row>
    <row r="97" spans="1:16" ht="15" customHeight="1" x14ac:dyDescent="0.2">
      <c r="A97" s="5" t="s">
        <v>506</v>
      </c>
      <c r="C97" s="47">
        <f t="shared" ref="C97:P97" si="29">IF(OR(B52=0,B52="-"),"-",(C52-B52)/B52)</f>
        <v>3.4385089648233925E-2</v>
      </c>
      <c r="D97" s="47">
        <f t="shared" si="29"/>
        <v>5.6300567225538889E-2</v>
      </c>
      <c r="E97" s="47">
        <f t="shared" si="29"/>
        <v>4.3171174972122431E-2</v>
      </c>
      <c r="F97" s="47">
        <f t="shared" si="29"/>
        <v>2.3333229518218493E-2</v>
      </c>
      <c r="G97" s="47">
        <f t="shared" si="29"/>
        <v>6.6379371311518137E-2</v>
      </c>
      <c r="H97" s="47">
        <f t="shared" si="29"/>
        <v>3.764653918670921E-2</v>
      </c>
      <c r="I97" s="47">
        <f t="shared" si="29"/>
        <v>3.6444344688621878E-2</v>
      </c>
      <c r="J97" s="47">
        <f t="shared" si="29"/>
        <v>2.4559851893050846E-2</v>
      </c>
      <c r="K97" s="47">
        <f t="shared" si="29"/>
        <v>4.2199135831910449E-2</v>
      </c>
      <c r="L97" s="47">
        <f t="shared" si="29"/>
        <v>4.571075154305289E-3</v>
      </c>
      <c r="M97" s="47">
        <f t="shared" si="29"/>
        <v>3.4931460984147795E-2</v>
      </c>
      <c r="N97" s="47">
        <f t="shared" si="29"/>
        <v>3.5086940695862212E-2</v>
      </c>
      <c r="O97" s="47">
        <f t="shared" si="29"/>
        <v>3.8982135135550593E-2</v>
      </c>
      <c r="P97" s="47">
        <f t="shared" si="29"/>
        <v>3.3842342104097048E-2</v>
      </c>
    </row>
    <row r="98" spans="1:16" ht="15" customHeight="1" x14ac:dyDescent="0.2">
      <c r="A98" s="5" t="s">
        <v>507</v>
      </c>
      <c r="C98" s="47">
        <f t="shared" ref="C98:P98" si="30">IF(OR(B94=0,B94="-"),"-",(C94-B94)/B94)</f>
        <v>-6.7730387034856857E-2</v>
      </c>
      <c r="D98" s="47">
        <f t="shared" si="30"/>
        <v>6.8076732329927891E-2</v>
      </c>
      <c r="E98" s="47">
        <f t="shared" si="30"/>
        <v>5.2907595369034548E-2</v>
      </c>
      <c r="F98" s="47">
        <f t="shared" si="30"/>
        <v>3.7941295063132069E-2</v>
      </c>
      <c r="G98" s="47">
        <f t="shared" si="30"/>
        <v>8.3082851167762331E-2</v>
      </c>
      <c r="H98" s="47">
        <f t="shared" si="30"/>
        <v>3.6331308781609929E-2</v>
      </c>
      <c r="I98" s="47">
        <f t="shared" si="30"/>
        <v>3.8437696259964987E-2</v>
      </c>
      <c r="J98" s="47">
        <f t="shared" si="30"/>
        <v>2.1032438926347617E-2</v>
      </c>
      <c r="K98" s="47">
        <f t="shared" si="30"/>
        <v>5.4786102010341724E-2</v>
      </c>
      <c r="L98" s="47">
        <f t="shared" si="30"/>
        <v>6.9182222511212695E-3</v>
      </c>
      <c r="M98" s="47">
        <f t="shared" si="30"/>
        <v>4.3045580098207102E-2</v>
      </c>
      <c r="N98" s="47">
        <f t="shared" si="30"/>
        <v>4.279973790758989E-2</v>
      </c>
      <c r="O98" s="47">
        <f t="shared" si="30"/>
        <v>4.6897697020516632E-2</v>
      </c>
      <c r="P98" s="47">
        <f t="shared" si="30"/>
        <v>4.0558090319336104E-2</v>
      </c>
    </row>
    <row r="99" spans="1:16" ht="15" customHeight="1" x14ac:dyDescent="0.2">
      <c r="A99" s="5" t="s">
        <v>508</v>
      </c>
      <c r="C99" s="47">
        <f t="shared" ref="C99:P99" si="31">IF(OR(B63=0,B63="-"),"-",(C63-B63)/B63)</f>
        <v>0.1154741028900409</v>
      </c>
      <c r="D99" s="47">
        <f t="shared" si="31"/>
        <v>5.2860087468880886E-2</v>
      </c>
      <c r="E99" s="47">
        <f t="shared" si="31"/>
        <v>4.3467461777743216E-2</v>
      </c>
      <c r="F99" s="47">
        <f t="shared" si="31"/>
        <v>4.2675933930801942E-2</v>
      </c>
      <c r="G99" s="47">
        <f t="shared" si="31"/>
        <v>8.2718226744551593E-2</v>
      </c>
      <c r="H99" s="47">
        <f t="shared" si="31"/>
        <v>2.8017644873339697E-2</v>
      </c>
      <c r="I99" s="47">
        <f t="shared" si="31"/>
        <v>2.9056158457262195E-2</v>
      </c>
      <c r="J99" s="47">
        <f t="shared" si="31"/>
        <v>-4.3243537752004645E-2</v>
      </c>
      <c r="K99" s="47">
        <f t="shared" si="31"/>
        <v>0.10335761120718762</v>
      </c>
      <c r="L99" s="47">
        <f t="shared" si="31"/>
        <v>3.5810585302018909E-2</v>
      </c>
      <c r="M99" s="47">
        <f t="shared" si="31"/>
        <v>4.132287573437618E-2</v>
      </c>
      <c r="N99" s="47">
        <f t="shared" si="31"/>
        <v>4.1375108751285868E-2</v>
      </c>
      <c r="O99" s="47">
        <f t="shared" si="31"/>
        <v>4.6406965037541922E-2</v>
      </c>
      <c r="P99" s="47">
        <f t="shared" si="31"/>
        <v>3.9397963594581052E-2</v>
      </c>
    </row>
    <row r="100" spans="1:16" ht="15" customHeight="1" x14ac:dyDescent="0.2">
      <c r="A100" s="5" t="s">
        <v>509</v>
      </c>
      <c r="B100" s="47">
        <f t="shared" ref="B100:P100" si="32">IF(OR(B94=0,B94="-"),"-",B66/B94)</f>
        <v>0.78593615679981665</v>
      </c>
      <c r="C100" s="47">
        <f t="shared" si="32"/>
        <v>0.87113643671180019</v>
      </c>
      <c r="D100" s="47">
        <f t="shared" si="32"/>
        <v>0.84192229347416081</v>
      </c>
      <c r="E100" s="47">
        <f t="shared" si="32"/>
        <v>0.82460452271779916</v>
      </c>
      <c r="F100" s="47">
        <f t="shared" si="32"/>
        <v>0.81853621452266867</v>
      </c>
      <c r="G100" s="47">
        <f t="shared" si="32"/>
        <v>0.76686055078755044</v>
      </c>
      <c r="H100" s="47">
        <f t="shared" si="32"/>
        <v>0.75070053873804421</v>
      </c>
      <c r="I100" s="47">
        <f t="shared" si="32"/>
        <v>0.72291341256366726</v>
      </c>
      <c r="J100" s="47">
        <f t="shared" si="32"/>
        <v>0.72825118296529967</v>
      </c>
      <c r="K100" s="47">
        <f t="shared" si="32"/>
        <v>0.69042546311267139</v>
      </c>
      <c r="L100" s="47">
        <f t="shared" si="32"/>
        <v>0.68568176427388372</v>
      </c>
      <c r="M100" s="47">
        <f t="shared" si="32"/>
        <v>0.65738427673441069</v>
      </c>
      <c r="N100" s="47">
        <f t="shared" si="32"/>
        <v>0.63040318561402087</v>
      </c>
      <c r="O100" s="47">
        <f t="shared" si="32"/>
        <v>0.6021631219632595</v>
      </c>
      <c r="P100" s="47">
        <f t="shared" si="32"/>
        <v>0.57869246086824633</v>
      </c>
    </row>
    <row r="102" spans="1:16" ht="15" customHeight="1" x14ac:dyDescent="0.2">
      <c r="A102" s="18" t="s">
        <v>510</v>
      </c>
    </row>
    <row r="103" spans="1:16" ht="15" customHeight="1" x14ac:dyDescent="0.2">
      <c r="A103" s="5" t="s">
        <v>511</v>
      </c>
    </row>
    <row r="105" spans="1:16" ht="15" customHeight="1" x14ac:dyDescent="0.2">
      <c r="A105" s="7" t="s">
        <v>512</v>
      </c>
    </row>
    <row r="106" spans="1:16" ht="15" customHeight="1" x14ac:dyDescent="0.2">
      <c r="A106" s="5" t="s">
        <v>513</v>
      </c>
      <c r="B106" s="11">
        <f>-CFS!B25</f>
        <v>46897</v>
      </c>
      <c r="C106" s="11">
        <f>-CFS!C25</f>
        <v>181459</v>
      </c>
      <c r="D106" s="11">
        <f>-CFS!D25</f>
        <v>229349</v>
      </c>
      <c r="E106" s="11">
        <f>-CFS!E25</f>
        <v>133426</v>
      </c>
      <c r="F106" s="11">
        <f>-CFS!F25</f>
        <v>206274</v>
      </c>
      <c r="G106" s="11">
        <f>-CFS!G25</f>
        <v>338068</v>
      </c>
      <c r="H106" s="11">
        <f>-CFS!H25</f>
        <v>103338</v>
      </c>
      <c r="I106" s="11">
        <f>-CFS!I25</f>
        <v>13153</v>
      </c>
      <c r="J106" s="11">
        <f>-CFS!J25</f>
        <v>17007</v>
      </c>
      <c r="K106" s="11">
        <f>-CFS!K25</f>
        <v>75580</v>
      </c>
      <c r="L106" s="11"/>
      <c r="M106" s="11"/>
      <c r="N106" s="11"/>
      <c r="O106" s="11"/>
      <c r="P106" s="11"/>
    </row>
    <row r="107" spans="1:16" ht="15" customHeight="1" x14ac:dyDescent="0.2">
      <c r="A107" s="5" t="s">
        <v>514</v>
      </c>
      <c r="B107" s="44">
        <v>48214</v>
      </c>
      <c r="C107" s="44">
        <v>205412</v>
      </c>
      <c r="D107" s="44">
        <v>276533</v>
      </c>
      <c r="E107" s="44">
        <v>185763</v>
      </c>
      <c r="F107" s="44">
        <v>211100</v>
      </c>
      <c r="G107" s="44">
        <v>399400</v>
      </c>
      <c r="H107" s="44">
        <v>103338</v>
      </c>
      <c r="I107" s="44">
        <v>69300</v>
      </c>
      <c r="J107" s="44">
        <v>20460</v>
      </c>
      <c r="K107" s="44">
        <v>168800</v>
      </c>
      <c r="L107" s="15"/>
      <c r="M107" s="15"/>
      <c r="N107" s="15"/>
      <c r="O107" s="15"/>
      <c r="P107" s="15"/>
    </row>
    <row r="108" spans="1:16" ht="15" customHeight="1" x14ac:dyDescent="0.2">
      <c r="A108" s="5" t="s">
        <v>515</v>
      </c>
      <c r="B108" s="46">
        <v>482</v>
      </c>
      <c r="C108" s="46">
        <v>847</v>
      </c>
      <c r="D108" s="46">
        <v>1550</v>
      </c>
      <c r="E108" s="46">
        <v>900</v>
      </c>
      <c r="F108" s="46">
        <v>1200</v>
      </c>
      <c r="G108" s="46">
        <v>1597</v>
      </c>
      <c r="H108" s="46">
        <v>842</v>
      </c>
      <c r="I108" s="46">
        <v>430</v>
      </c>
      <c r="J108" s="46">
        <v>50</v>
      </c>
      <c r="K108" s="46">
        <v>416</v>
      </c>
      <c r="L108" s="13"/>
      <c r="M108" s="13"/>
      <c r="N108" s="13"/>
      <c r="O108" s="13"/>
      <c r="P108" s="13"/>
    </row>
    <row r="109" spans="1:16" ht="15" customHeight="1" x14ac:dyDescent="0.2">
      <c r="A109" s="5" t="s">
        <v>516</v>
      </c>
      <c r="B109" s="53">
        <f t="shared" ref="B109:K109" si="33">IF(B108=0,"",B107/B108)</f>
        <v>100.02904564315352</v>
      </c>
      <c r="C109" s="53">
        <f t="shared" si="33"/>
        <v>242.51711924439198</v>
      </c>
      <c r="D109" s="53">
        <f t="shared" si="33"/>
        <v>178.40838709677419</v>
      </c>
      <c r="E109" s="53">
        <f t="shared" si="33"/>
        <v>206.40333333333334</v>
      </c>
      <c r="F109" s="53">
        <f t="shared" si="33"/>
        <v>175.91666666666666</v>
      </c>
      <c r="G109" s="53">
        <f t="shared" si="33"/>
        <v>250.09392611145898</v>
      </c>
      <c r="H109" s="53">
        <f t="shared" si="33"/>
        <v>122.72921615201901</v>
      </c>
      <c r="I109" s="53">
        <f t="shared" si="33"/>
        <v>161.16279069767441</v>
      </c>
      <c r="J109" s="53">
        <f t="shared" si="33"/>
        <v>409.2</v>
      </c>
      <c r="K109" s="53">
        <f t="shared" si="33"/>
        <v>405.76923076923077</v>
      </c>
    </row>
    <row r="110" spans="1:16" ht="15" customHeight="1" x14ac:dyDescent="0.2">
      <c r="A110" s="7"/>
    </row>
    <row r="111" spans="1:16" ht="15" customHeight="1" x14ac:dyDescent="0.2">
      <c r="A111" s="7" t="s">
        <v>517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1:16" ht="15" customHeight="1" x14ac:dyDescent="0.2">
      <c r="A112" s="5" t="s">
        <v>518</v>
      </c>
      <c r="B112" s="11">
        <f>CFS!B27</f>
        <v>8</v>
      </c>
      <c r="C112" s="11">
        <f>CFS!C27</f>
        <v>0</v>
      </c>
      <c r="D112" s="11">
        <f>CFS!D27</f>
        <v>1460</v>
      </c>
      <c r="E112" s="11">
        <f>CFS!E27</f>
        <v>11520</v>
      </c>
      <c r="F112" s="11">
        <f>CFS!F27</f>
        <v>0</v>
      </c>
      <c r="G112" s="11">
        <f>CFS!G27</f>
        <v>0</v>
      </c>
      <c r="H112" s="11">
        <f>CFS!H27</f>
        <v>0</v>
      </c>
      <c r="I112" s="11">
        <f>CFS!I27</f>
        <v>91307</v>
      </c>
      <c r="J112" s="11">
        <f>CFS!J27</f>
        <v>39067</v>
      </c>
      <c r="K112" s="11">
        <f>CFS!K27</f>
        <v>81426</v>
      </c>
      <c r="L112" s="11"/>
      <c r="M112" s="11"/>
      <c r="N112" s="11"/>
      <c r="O112" s="11"/>
      <c r="P112" s="11"/>
    </row>
    <row r="113" spans="1:16" ht="15" customHeight="1" x14ac:dyDescent="0.2">
      <c r="A113" s="5" t="s">
        <v>519</v>
      </c>
      <c r="B113" s="44">
        <v>0</v>
      </c>
      <c r="C113" s="44">
        <v>16616</v>
      </c>
      <c r="D113" s="44">
        <v>1460</v>
      </c>
      <c r="E113" s="44">
        <v>11520</v>
      </c>
      <c r="F113" s="44">
        <v>0</v>
      </c>
      <c r="G113" s="44">
        <v>0</v>
      </c>
      <c r="H113" s="44">
        <v>0</v>
      </c>
      <c r="I113" s="44">
        <v>168670</v>
      </c>
      <c r="J113" s="44">
        <v>59170</v>
      </c>
      <c r="K113" s="44">
        <v>148300</v>
      </c>
      <c r="L113" s="13"/>
      <c r="M113" s="13"/>
      <c r="N113" s="13"/>
      <c r="O113" s="13"/>
      <c r="P113" s="13"/>
    </row>
    <row r="114" spans="1:16" ht="15" customHeight="1" x14ac:dyDescent="0.2">
      <c r="A114" s="5" t="s">
        <v>520</v>
      </c>
      <c r="B114" s="46">
        <v>0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v>1122</v>
      </c>
      <c r="J114" s="46">
        <v>338</v>
      </c>
      <c r="K114" s="46">
        <v>1139</v>
      </c>
    </row>
    <row r="115" spans="1:16" ht="15" customHeight="1" x14ac:dyDescent="0.2">
      <c r="A115" s="5" t="s">
        <v>516</v>
      </c>
      <c r="B115" s="53" t="str">
        <f t="shared" ref="B115:K115" si="34">IF(B114=0,"",B113/B114)</f>
        <v/>
      </c>
      <c r="C115" s="53" t="str">
        <f t="shared" si="34"/>
        <v/>
      </c>
      <c r="D115" s="53" t="str">
        <f t="shared" si="34"/>
        <v/>
      </c>
      <c r="E115" s="53" t="str">
        <f t="shared" si="34"/>
        <v/>
      </c>
      <c r="F115" s="53" t="str">
        <f t="shared" si="34"/>
        <v/>
      </c>
      <c r="G115" s="53" t="str">
        <f t="shared" si="34"/>
        <v/>
      </c>
      <c r="H115" s="53" t="str">
        <f t="shared" si="34"/>
        <v/>
      </c>
      <c r="I115" s="53">
        <f t="shared" si="34"/>
        <v>150.32976827094475</v>
      </c>
      <c r="J115" s="53">
        <f t="shared" si="34"/>
        <v>175.05917159763314</v>
      </c>
      <c r="K115" s="53">
        <f t="shared" si="34"/>
        <v>130.20193151887619</v>
      </c>
      <c r="L115" s="13"/>
      <c r="M115" s="13"/>
      <c r="N115" s="13"/>
      <c r="O115" s="13"/>
      <c r="P115" s="13"/>
    </row>
    <row r="116" spans="1:16" ht="15" customHeight="1" x14ac:dyDescent="0.2">
      <c r="A116" s="5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1:16" ht="15" customHeight="1" x14ac:dyDescent="0.2">
      <c r="A117" s="7" t="s">
        <v>521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1:16" ht="15" customHeight="1" x14ac:dyDescent="0.2">
      <c r="A118" s="5" t="s">
        <v>522</v>
      </c>
      <c r="B118" s="22">
        <f t="shared" ref="B118:K118" si="35">B107-B113</f>
        <v>48214</v>
      </c>
      <c r="C118" s="22">
        <f t="shared" si="35"/>
        <v>188796</v>
      </c>
      <c r="D118" s="22">
        <f t="shared" si="35"/>
        <v>275073</v>
      </c>
      <c r="E118" s="22">
        <f t="shared" si="35"/>
        <v>174243</v>
      </c>
      <c r="F118" s="22">
        <f t="shared" si="35"/>
        <v>211100</v>
      </c>
      <c r="G118" s="22">
        <f t="shared" si="35"/>
        <v>399400</v>
      </c>
      <c r="H118" s="22">
        <f t="shared" si="35"/>
        <v>103338</v>
      </c>
      <c r="I118" s="22">
        <f t="shared" si="35"/>
        <v>-99370</v>
      </c>
      <c r="J118" s="22">
        <f t="shared" si="35"/>
        <v>-38710</v>
      </c>
      <c r="K118" s="22">
        <f t="shared" si="35"/>
        <v>20500</v>
      </c>
      <c r="L118" s="20"/>
      <c r="M118" s="20"/>
      <c r="N118" s="20"/>
      <c r="O118" s="20"/>
      <c r="P118" s="20"/>
    </row>
    <row r="119" spans="1:16" ht="15" customHeight="1" x14ac:dyDescent="0.2">
      <c r="A119" s="5" t="s">
        <v>523</v>
      </c>
      <c r="B119" s="26">
        <f t="shared" ref="B119:K119" si="36">B108-B114</f>
        <v>482</v>
      </c>
      <c r="C119" s="26">
        <f t="shared" si="36"/>
        <v>847</v>
      </c>
      <c r="D119" s="26">
        <f t="shared" si="36"/>
        <v>1550</v>
      </c>
      <c r="E119" s="26">
        <f t="shared" si="36"/>
        <v>900</v>
      </c>
      <c r="F119" s="26">
        <f t="shared" si="36"/>
        <v>1200</v>
      </c>
      <c r="G119" s="26">
        <f t="shared" si="36"/>
        <v>1597</v>
      </c>
      <c r="H119" s="26">
        <f t="shared" si="36"/>
        <v>842</v>
      </c>
      <c r="I119" s="26">
        <f t="shared" si="36"/>
        <v>-692</v>
      </c>
      <c r="J119" s="26">
        <f t="shared" si="36"/>
        <v>-288</v>
      </c>
      <c r="K119" s="26">
        <f t="shared" si="36"/>
        <v>-723</v>
      </c>
    </row>
    <row r="120" spans="1:16" ht="15" customHeight="1" x14ac:dyDescent="0.2">
      <c r="A120" s="5" t="s">
        <v>524</v>
      </c>
      <c r="B120" s="53" t="str">
        <f t="shared" ref="B120:K120" si="37">IF(OR(B109="",B115=""),"",B109-B115)</f>
        <v/>
      </c>
      <c r="C120" s="53" t="str">
        <f t="shared" si="37"/>
        <v/>
      </c>
      <c r="D120" s="53" t="str">
        <f t="shared" si="37"/>
        <v/>
      </c>
      <c r="E120" s="53" t="str">
        <f t="shared" si="37"/>
        <v/>
      </c>
      <c r="F120" s="53" t="str">
        <f t="shared" si="37"/>
        <v/>
      </c>
      <c r="G120" s="53" t="str">
        <f t="shared" si="37"/>
        <v/>
      </c>
      <c r="H120" s="53" t="str">
        <f t="shared" si="37"/>
        <v/>
      </c>
      <c r="I120" s="53">
        <f t="shared" si="37"/>
        <v>10.833022426729656</v>
      </c>
      <c r="J120" s="53">
        <f t="shared" si="37"/>
        <v>234.14082840236685</v>
      </c>
      <c r="K120" s="53">
        <f t="shared" si="37"/>
        <v>275.56729925035461</v>
      </c>
    </row>
    <row r="121" spans="1:16" ht="15" customHeight="1" x14ac:dyDescent="0.2">
      <c r="A121" s="5"/>
      <c r="B121" s="5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1:16" ht="15" customHeight="1" x14ac:dyDescent="0.2">
      <c r="A122" s="18" t="s">
        <v>525</v>
      </c>
      <c r="B122" s="5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1:16" ht="15" customHeight="1" x14ac:dyDescent="0.2">
      <c r="A123" s="5" t="s">
        <v>526</v>
      </c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5" spans="1:16" ht="15" customHeight="1" x14ac:dyDescent="0.2">
      <c r="A125" s="7" t="s">
        <v>527</v>
      </c>
      <c r="G125" s="5"/>
    </row>
    <row r="126" spans="1:16" ht="15" customHeight="1" x14ac:dyDescent="0.2">
      <c r="A126" s="5" t="s">
        <v>528</v>
      </c>
      <c r="L126" s="11">
        <f>K18</f>
        <v>254828</v>
      </c>
      <c r="M126" s="11">
        <f>L18</f>
        <v>262251.55958750006</v>
      </c>
      <c r="N126" s="11">
        <f>M18</f>
        <v>269891.37821848894</v>
      </c>
      <c r="O126" s="11">
        <f>N18</f>
        <v>277753.75578925991</v>
      </c>
      <c r="P126" s="11">
        <f>O18</f>
        <v>285845.17571871902</v>
      </c>
    </row>
    <row r="127" spans="1:16" ht="15" customHeight="1" x14ac:dyDescent="0.2">
      <c r="A127" s="5" t="s">
        <v>529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>
        <f>Assumptions!B23</f>
        <v>2.9131647964509622E-2</v>
      </c>
      <c r="M127" s="15">
        <f>Assumptions!C23</f>
        <v>2.9131642317039796E-2</v>
      </c>
      <c r="N127" s="15">
        <f>Assumptions!D23</f>
        <v>2.9131636670534977E-2</v>
      </c>
      <c r="O127" s="15">
        <f>Assumptions!E23</f>
        <v>2.9131631024994276E-2</v>
      </c>
      <c r="P127" s="15">
        <f>Assumptions!F23</f>
        <v>2.9131625380418136E-2</v>
      </c>
    </row>
    <row r="128" spans="1:16" ht="15" customHeight="1" x14ac:dyDescent="0.2">
      <c r="A128" s="5" t="s">
        <v>530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22">
        <f>L126*(1+L127)</f>
        <v>262251.55958750006</v>
      </c>
      <c r="M128" s="22">
        <f>M126*(1+M127)</f>
        <v>269891.37821848894</v>
      </c>
      <c r="N128" s="22">
        <f>N126*(1+N127)</f>
        <v>277753.75578925991</v>
      </c>
      <c r="O128" s="22">
        <f>O126*(1+O127)</f>
        <v>285845.17571871902</v>
      </c>
      <c r="P128" s="22">
        <f>P126*(1+P127)</f>
        <v>294172.31029455655</v>
      </c>
    </row>
    <row r="129" spans="1:16" ht="15" customHeight="1" x14ac:dyDescent="0.2">
      <c r="A129" s="5" t="s">
        <v>531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11">
        <f>-Assumptions!B30*Assumptions!B31*0.5</f>
        <v>0</v>
      </c>
      <c r="M129" s="11">
        <f>-Assumptions!C30*Assumptions!C31*0.5</f>
        <v>0</v>
      </c>
      <c r="N129" s="11">
        <f>-Assumptions!D30*Assumptions!D31*0.5</f>
        <v>0</v>
      </c>
      <c r="O129" s="11">
        <f>-Assumptions!E30*Assumptions!E31*0.5</f>
        <v>0</v>
      </c>
      <c r="P129" s="11">
        <f>-Assumptions!F30*Assumptions!F31*0.5</f>
        <v>0</v>
      </c>
    </row>
    <row r="130" spans="1:16" ht="15" customHeight="1" x14ac:dyDescent="0.2">
      <c r="A130" s="7" t="s">
        <v>532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13">
        <f>L128+L129</f>
        <v>262251.55958750006</v>
      </c>
      <c r="M130" s="13">
        <f>M128+M129</f>
        <v>269891.37821848894</v>
      </c>
      <c r="N130" s="13">
        <f>N128+N129</f>
        <v>277753.75578925991</v>
      </c>
      <c r="O130" s="13">
        <f>O128+O129</f>
        <v>285845.17571871902</v>
      </c>
      <c r="P130" s="13">
        <f>P128+P129</f>
        <v>294172.31029455655</v>
      </c>
    </row>
    <row r="132" spans="1:16" ht="15" customHeight="1" x14ac:dyDescent="0.2">
      <c r="A132" s="7" t="s">
        <v>533</v>
      </c>
      <c r="G132" s="5"/>
    </row>
    <row r="133" spans="1:16" ht="15" customHeight="1" x14ac:dyDescent="0.2">
      <c r="A133" s="5" t="s">
        <v>534</v>
      </c>
      <c r="L133" s="11">
        <f>Assumptions!B28*Assumptions!B29*0.5</f>
        <v>0</v>
      </c>
      <c r="M133" s="11">
        <f>Assumptions!C28*Assumptions!C29*0.5</f>
        <v>0</v>
      </c>
      <c r="N133" s="11">
        <f>Assumptions!D28*Assumptions!D29*0.5</f>
        <v>0</v>
      </c>
      <c r="O133" s="11">
        <f>Assumptions!E28*Assumptions!E29*0.5</f>
        <v>0</v>
      </c>
      <c r="P133" s="11">
        <f>Assumptions!F28*Assumptions!F29*0.5</f>
        <v>0</v>
      </c>
    </row>
    <row r="134" spans="1:16" ht="15" customHeight="1" x14ac:dyDescent="0.2">
      <c r="A134" s="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43"/>
      <c r="M134" s="43"/>
      <c r="N134" s="43"/>
      <c r="O134" s="43"/>
      <c r="P134" s="43"/>
    </row>
    <row r="135" spans="1:16" ht="15" customHeight="1" x14ac:dyDescent="0.2">
      <c r="A135" s="7" t="s">
        <v>535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13">
        <f>L130+L133</f>
        <v>262251.55958750006</v>
      </c>
      <c r="M135" s="13">
        <f>M130+M133</f>
        <v>269891.37821848894</v>
      </c>
      <c r="N135" s="13">
        <f>N130+N133</f>
        <v>277753.75578925991</v>
      </c>
      <c r="O135" s="13">
        <f>O130+O133</f>
        <v>285845.17571871902</v>
      </c>
      <c r="P135" s="13">
        <f>P130+P133</f>
        <v>294172.31029455655</v>
      </c>
    </row>
    <row r="136" spans="1:16" ht="15" customHeight="1" x14ac:dyDescent="0.2">
      <c r="A136" s="5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</row>
    <row r="137" spans="1:16" ht="15" customHeight="1" x14ac:dyDescent="0.2">
      <c r="A137" s="18" t="s">
        <v>536</v>
      </c>
    </row>
    <row r="138" spans="1:16" ht="15" customHeight="1" x14ac:dyDescent="0.2">
      <c r="A138" s="5" t="s">
        <v>537</v>
      </c>
      <c r="B138" s="11">
        <f t="shared" ref="B138:P138" si="38">B18</f>
        <v>105424</v>
      </c>
      <c r="C138" s="11">
        <f t="shared" si="38"/>
        <v>115220</v>
      </c>
      <c r="D138" s="11">
        <f t="shared" si="38"/>
        <v>135712</v>
      </c>
      <c r="E138" s="11">
        <f t="shared" si="38"/>
        <v>152336</v>
      </c>
      <c r="F138" s="11">
        <f t="shared" si="38"/>
        <v>164662</v>
      </c>
      <c r="G138" s="11">
        <f t="shared" si="38"/>
        <v>183235</v>
      </c>
      <c r="H138" s="11">
        <f t="shared" si="38"/>
        <v>206912</v>
      </c>
      <c r="I138" s="11">
        <f t="shared" si="38"/>
        <v>224043</v>
      </c>
      <c r="J138" s="11">
        <f t="shared" si="38"/>
        <v>240481</v>
      </c>
      <c r="K138" s="11">
        <f t="shared" si="38"/>
        <v>254828</v>
      </c>
      <c r="L138" s="11">
        <f t="shared" si="38"/>
        <v>262251.55958750006</v>
      </c>
      <c r="M138" s="11">
        <f t="shared" si="38"/>
        <v>269891.37821848894</v>
      </c>
      <c r="N138" s="11">
        <f t="shared" si="38"/>
        <v>277753.75578925991</v>
      </c>
      <c r="O138" s="11">
        <f t="shared" si="38"/>
        <v>285845.17571871902</v>
      </c>
      <c r="P138" s="11">
        <f t="shared" si="38"/>
        <v>294172.31029455655</v>
      </c>
    </row>
    <row r="139" spans="1:16" ht="15" customHeight="1" x14ac:dyDescent="0.2">
      <c r="A139" s="5" t="s">
        <v>538</v>
      </c>
      <c r="B139" s="15">
        <f>Ops!C14</f>
        <v>3.5999999999999997E-2</v>
      </c>
      <c r="C139" s="15">
        <f>Ops!D14</f>
        <v>4.8000000000000001E-2</v>
      </c>
      <c r="D139" s="15">
        <f>Ops!E14</f>
        <v>4.1000000000000002E-2</v>
      </c>
      <c r="E139" s="15">
        <f>Ops!F14</f>
        <v>2.3E-2</v>
      </c>
      <c r="F139" s="15">
        <f>Ops!G14</f>
        <v>5.0999999999999997E-2</v>
      </c>
      <c r="G139" s="15">
        <f>Ops!H14</f>
        <v>4.7E-2</v>
      </c>
      <c r="H139" s="15">
        <f>Ops!I14</f>
        <v>7.8E-2</v>
      </c>
      <c r="I139" s="15">
        <f>Ops!J14</f>
        <v>8.3000000000000004E-2</v>
      </c>
      <c r="J139" s="15">
        <f>Ops!K14</f>
        <v>6.0999999999999999E-2</v>
      </c>
      <c r="K139" s="15">
        <f>Assumptions!B23</f>
        <v>2.9131647964509622E-2</v>
      </c>
      <c r="L139" s="15">
        <f>Assumptions!C23</f>
        <v>2.9131642317039796E-2</v>
      </c>
      <c r="M139" s="15">
        <f>Assumptions!D23</f>
        <v>2.9131636670534977E-2</v>
      </c>
      <c r="N139" s="15">
        <f>Assumptions!E23</f>
        <v>2.9131631024994276E-2</v>
      </c>
      <c r="O139" s="15">
        <f>Assumptions!F23</f>
        <v>2.9131625380418136E-2</v>
      </c>
    </row>
    <row r="140" spans="1:16" ht="15" customHeight="1" x14ac:dyDescent="0.2">
      <c r="A140" s="7" t="s">
        <v>97</v>
      </c>
      <c r="B140" s="13">
        <f t="shared" ref="B140:O140" si="39">IF(B139="","",B138*(1+B139))</f>
        <v>109219.26400000001</v>
      </c>
      <c r="C140" s="13">
        <f t="shared" si="39"/>
        <v>120750.56</v>
      </c>
      <c r="D140" s="13">
        <f t="shared" si="39"/>
        <v>141276.19199999998</v>
      </c>
      <c r="E140" s="13">
        <f t="shared" si="39"/>
        <v>155839.72799999997</v>
      </c>
      <c r="F140" s="13">
        <f t="shared" si="39"/>
        <v>173059.76199999999</v>
      </c>
      <c r="G140" s="13">
        <f t="shared" si="39"/>
        <v>191847.04499999998</v>
      </c>
      <c r="H140" s="13">
        <f t="shared" si="39"/>
        <v>223051.13600000003</v>
      </c>
      <c r="I140" s="13">
        <f t="shared" si="39"/>
        <v>242638.56899999999</v>
      </c>
      <c r="J140" s="13">
        <f t="shared" si="39"/>
        <v>255150.34099999999</v>
      </c>
      <c r="K140" s="13">
        <f t="shared" si="39"/>
        <v>262251.55958750006</v>
      </c>
      <c r="L140" s="13">
        <f t="shared" si="39"/>
        <v>269891.37821848894</v>
      </c>
      <c r="M140" s="13">
        <f t="shared" si="39"/>
        <v>277753.75578925991</v>
      </c>
      <c r="N140" s="13">
        <f t="shared" si="39"/>
        <v>285845.17571871902</v>
      </c>
      <c r="O140" s="13">
        <f t="shared" si="39"/>
        <v>294172.31029455655</v>
      </c>
    </row>
    <row r="141" spans="1:16" ht="15" customHeight="1" x14ac:dyDescent="0.2">
      <c r="A141" s="7" t="s">
        <v>539</v>
      </c>
      <c r="B141" s="55">
        <f>IF(OR(B140="",BS!B8=0),"",B140/BS!B8)</f>
        <v>5.6217190675974846E-2</v>
      </c>
      <c r="C141" s="55">
        <f>IF(OR(C140="",BS!C8=0),"",C140/BS!C8)</f>
        <v>5.2966277634999774E-2</v>
      </c>
      <c r="D141" s="55">
        <f>IF(OR(D140="",BS!D8=0),"",D140/BS!D8)</f>
        <v>5.0461315579958227E-2</v>
      </c>
      <c r="E141" s="55">
        <f>IF(OR(E140="",BS!E8=0),"",E140/BS!E8)</f>
        <v>4.6931139033742048E-2</v>
      </c>
      <c r="F141" s="55">
        <f>IF(OR(F140="",BS!F8=0),"",F140/BS!F8)</f>
        <v>4.6248945594211305E-2</v>
      </c>
      <c r="G141" s="55">
        <f>IF(OR(G140="",BS!G8=0),"",G140/BS!G8)</f>
        <v>4.2248897074287625E-2</v>
      </c>
      <c r="H141" s="55">
        <f>IF(OR(H140="",BS!H8=0),"",H140/BS!H8)</f>
        <v>4.6345389306559744E-2</v>
      </c>
      <c r="I141" s="55">
        <f>IF(OR(I140="",BS!I8=0),"",I140/BS!I8)</f>
        <v>4.8259333991804772E-2</v>
      </c>
      <c r="J141" s="55">
        <f>IF(OR(J140="",BS!J8=0),"",J140/BS!J8)</f>
        <v>4.738414272236996E-2</v>
      </c>
      <c r="K141" s="55">
        <f>IF(OR(K140="",BS!K8=0),"",K140/BS!K8)</f>
        <v>4.8128241794023002E-2</v>
      </c>
      <c r="L141" s="55">
        <f>IF(OR(L140="",BS!L8=0),"",L140/BS!L8)</f>
        <v>5.1456582115851988E-2</v>
      </c>
      <c r="M141" s="55">
        <f>IF(OR(M140="",BS!M8=0),"",M140/BS!M8)</f>
        <v>5.1456581833526756E-2</v>
      </c>
      <c r="N141" s="55">
        <f>IF(OR(N140="",BS!N8=0),"",N140/BS!N8)</f>
        <v>5.1456581551249721E-2</v>
      </c>
      <c r="O141" s="55">
        <f>IF(OR(O140="",BS!O8=0),"",O140/BS!O8)</f>
        <v>5.1456581269020911E-2</v>
      </c>
    </row>
    <row r="142" spans="1:16" ht="15" customHeight="1" x14ac:dyDescent="0.2">
      <c r="A142" s="5" t="s">
        <v>540</v>
      </c>
      <c r="B142" s="26">
        <f>IF(OR(B141="",BS!B47=0),"",(B141-BS!B47)*10000)</f>
        <v>13.171906759748483</v>
      </c>
      <c r="C142" s="26">
        <f>IF(OR(C141="",BS!C47=0),"",(C141-BS!C47)*10000)</f>
        <v>-7.3372236500022368</v>
      </c>
      <c r="D142" s="26">
        <f>IF(OR(D141="",BS!D47=0),"",(D141-BS!D47)*10000)</f>
        <v>19.613155799582255</v>
      </c>
      <c r="E142" s="26">
        <f>IF(OR(E141="",BS!E47=0),"",(E141-BS!E47)*10000)</f>
        <v>10.311390337420443</v>
      </c>
      <c r="F142" s="26">
        <f>IF(OR(F141="",BS!F47=0),"",(F141-BS!F47)*10000)</f>
        <v>-4.5105440578869365</v>
      </c>
      <c r="G142" s="26">
        <f>IF(OR(G141="",BS!G47=0),"",(G141-BS!G47)*10000)</f>
        <v>-18.511029257123752</v>
      </c>
      <c r="H142" s="26">
        <f>IF(OR(H141="",BS!H47=0),"",(H141-BS!H47)*10000)</f>
        <v>33.45389306559747</v>
      </c>
      <c r="I142" s="26">
        <f>IF(OR(I141="",BS!I47=0),"",(I141-BS!I47)*10000)</f>
        <v>27.593339918047729</v>
      </c>
      <c r="J142" s="26">
        <f>IF(OR(J141="",BS!J47=0),"",(J141-BS!J47)*10000)</f>
        <v>11.841427223699617</v>
      </c>
      <c r="K142" s="26">
        <f>IF(OR(K141="",BS!K47=0),"",(K141-BS!K47)*10000)</f>
        <v>13.28241794023001</v>
      </c>
      <c r="L142" s="26">
        <f>IF(OR(L141="",BS!L47=0),"",(L141-BS!L47)*10000)</f>
        <v>14.565821158519856</v>
      </c>
      <c r="M142" s="26">
        <f>IF(OR(M141="",BS!M47=0),"",(M141-BS!M47)*10000)</f>
        <v>14.565818335267529</v>
      </c>
      <c r="N142" s="26">
        <f>IF(OR(N141="",BS!N47=0),"",(N141-BS!N47)*10000)</f>
        <v>14.56581551249718</v>
      </c>
      <c r="O142" s="26">
        <f>IF(OR(O141="",BS!O47=0),"",(O141-BS!O47)*10000)</f>
        <v>14.565812690209082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0"/>
  <sheetViews>
    <sheetView showGridLines="0" topLeftCell="A13" zoomScaleNormal="100" workbookViewId="0">
      <selection activeCell="K57" sqref="K57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t="s">
        <v>233</v>
      </c>
    </row>
    <row r="2" spans="1:16" ht="15" customHeight="1" x14ac:dyDescent="0.2">
      <c r="A2" t="s">
        <v>541</v>
      </c>
    </row>
    <row r="3" spans="1:16" ht="15" customHeight="1" x14ac:dyDescent="0.2">
      <c r="A3" t="s">
        <v>444</v>
      </c>
    </row>
    <row r="5" spans="1:16" ht="1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7" spans="1:16" ht="15" customHeight="1" x14ac:dyDescent="0.2">
      <c r="A7" s="2" t="s">
        <v>542</v>
      </c>
    </row>
    <row r="8" spans="1:16" ht="15" customHeight="1" x14ac:dyDescent="0.2">
      <c r="A8" t="s">
        <v>34</v>
      </c>
      <c r="B8" s="9">
        <f>IS!B42</f>
        <v>71439</v>
      </c>
      <c r="C8" s="9">
        <f>IS!C42</f>
        <v>104761</v>
      </c>
      <c r="D8" s="9">
        <f>IS!D42</f>
        <v>175171</v>
      </c>
      <c r="E8" s="9">
        <f>IS!E42</f>
        <v>283525</v>
      </c>
      <c r="F8" s="9">
        <f>IS!F42</f>
        <v>146039</v>
      </c>
      <c r="G8" s="9">
        <f>IS!G42</f>
        <v>285527</v>
      </c>
      <c r="H8" s="9">
        <f>IS!H42</f>
        <v>122532</v>
      </c>
      <c r="I8" s="9">
        <f>IS!I42</f>
        <v>266333</v>
      </c>
      <c r="J8" s="9">
        <f>IS!J42</f>
        <v>667844</v>
      </c>
      <c r="K8" s="9">
        <f>IS!K42</f>
        <v>29412</v>
      </c>
      <c r="L8" s="9">
        <f>IS!L42</f>
        <v>151858.58881552017</v>
      </c>
      <c r="M8" s="9">
        <f>IS!M42</f>
        <v>159180.54256341228</v>
      </c>
      <c r="N8" s="9">
        <f>IS!N42</f>
        <v>166874.46932759054</v>
      </c>
      <c r="O8" s="9">
        <f>IS!O42</f>
        <v>175602.80184599158</v>
      </c>
      <c r="P8" s="9">
        <f>IS!P42</f>
        <v>183851.62362895533</v>
      </c>
    </row>
    <row r="9" spans="1:16" ht="15" customHeight="1" x14ac:dyDescent="0.2">
      <c r="A9" t="s">
        <v>543</v>
      </c>
      <c r="B9" s="39">
        <v>3749</v>
      </c>
      <c r="C9" s="39">
        <v>-64857</v>
      </c>
      <c r="D9" s="39">
        <v>-134803</v>
      </c>
      <c r="E9" s="39">
        <v>-244130</v>
      </c>
      <c r="F9" s="39">
        <v>-46885</v>
      </c>
      <c r="G9" s="39">
        <v>-239684</v>
      </c>
      <c r="H9" s="39">
        <v>19870</v>
      </c>
      <c r="I9" s="39">
        <v>-174179</v>
      </c>
      <c r="J9" s="39">
        <v>-252361</v>
      </c>
      <c r="K9" s="39">
        <v>120467</v>
      </c>
      <c r="L9" s="9">
        <f>-IS!L30</f>
        <v>0</v>
      </c>
      <c r="M9" s="9">
        <f>-IS!M30</f>
        <v>0</v>
      </c>
      <c r="N9" s="9">
        <f>-IS!N30</f>
        <v>0</v>
      </c>
      <c r="O9" s="9">
        <f>-IS!O30</f>
        <v>0</v>
      </c>
      <c r="P9" s="9">
        <f>-IS!P30</f>
        <v>0</v>
      </c>
    </row>
    <row r="10" spans="1:16" ht="15" customHeight="1" x14ac:dyDescent="0.2">
      <c r="A10" t="s">
        <v>544</v>
      </c>
      <c r="B10" s="39">
        <v>7482</v>
      </c>
      <c r="C10" s="39">
        <v>8655</v>
      </c>
      <c r="D10" s="39">
        <v>6926</v>
      </c>
      <c r="E10" s="39">
        <v>14051</v>
      </c>
      <c r="F10" s="39">
        <v>-7735</v>
      </c>
      <c r="G10" s="39">
        <v>27976</v>
      </c>
      <c r="H10" s="39">
        <v>-31731</v>
      </c>
      <c r="I10" s="39">
        <v>7151</v>
      </c>
      <c r="J10" s="39">
        <v>-4283</v>
      </c>
      <c r="K10" s="39">
        <v>-3016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</row>
    <row r="11" spans="1:16" ht="15" customHeight="1" x14ac:dyDescent="0.2">
      <c r="A11" t="s">
        <v>545</v>
      </c>
      <c r="B11" s="39">
        <v>896</v>
      </c>
      <c r="C11" s="39">
        <v>1021</v>
      </c>
      <c r="D11" s="39">
        <v>1513</v>
      </c>
      <c r="E11" s="39">
        <v>1918</v>
      </c>
      <c r="F11" s="39">
        <v>1727</v>
      </c>
      <c r="G11" s="39">
        <v>2078</v>
      </c>
      <c r="H11" s="39">
        <v>2191</v>
      </c>
      <c r="I11" s="39">
        <v>2672</v>
      </c>
      <c r="J11" s="39">
        <v>3174</v>
      </c>
      <c r="K11" s="39">
        <v>3513</v>
      </c>
      <c r="L11" s="9">
        <f>Assumptions!B38</f>
        <v>3500</v>
      </c>
      <c r="M11" s="9">
        <f>Assumptions!C38</f>
        <v>3500</v>
      </c>
      <c r="N11" s="9">
        <f>Assumptions!D38</f>
        <v>3500</v>
      </c>
      <c r="O11" s="9">
        <f>Assumptions!E38</f>
        <v>3500</v>
      </c>
      <c r="P11" s="9">
        <f>Assumptions!F38</f>
        <v>3500</v>
      </c>
    </row>
    <row r="12" spans="1:16" ht="15" customHeight="1" x14ac:dyDescent="0.2">
      <c r="A12" t="s">
        <v>546</v>
      </c>
      <c r="B12" s="39">
        <v>-27598</v>
      </c>
      <c r="C12" s="39">
        <v>18659</v>
      </c>
      <c r="D12" s="39">
        <v>31478</v>
      </c>
      <c r="E12" s="39">
        <v>40636</v>
      </c>
      <c r="F12" s="39">
        <v>9590</v>
      </c>
      <c r="G12" s="39">
        <v>42393</v>
      </c>
      <c r="H12" s="39">
        <v>18813</v>
      </c>
      <c r="I12" s="39">
        <v>33158</v>
      </c>
      <c r="J12" s="39">
        <v>-278975</v>
      </c>
      <c r="K12" s="39">
        <v>0</v>
      </c>
      <c r="L12" s="9">
        <f>Assumptions!B97</f>
        <v>0</v>
      </c>
      <c r="M12" s="9">
        <f>Assumptions!C97</f>
        <v>0</v>
      </c>
      <c r="N12" s="9">
        <f>Assumptions!D97</f>
        <v>0</v>
      </c>
      <c r="O12" s="9">
        <f>Assumptions!E97</f>
        <v>0</v>
      </c>
      <c r="P12" s="9">
        <f>Assumptions!F97</f>
        <v>0</v>
      </c>
    </row>
    <row r="13" spans="1:16" ht="15" customHeight="1" x14ac:dyDescent="0.2">
      <c r="A13" t="s">
        <v>547</v>
      </c>
      <c r="B13" s="39">
        <v>2389</v>
      </c>
      <c r="C13" s="39">
        <v>2507</v>
      </c>
      <c r="D13" s="39">
        <v>4354</v>
      </c>
      <c r="E13" s="39">
        <v>3813</v>
      </c>
      <c r="F13" s="39">
        <v>3843</v>
      </c>
      <c r="G13" s="39">
        <v>4357</v>
      </c>
      <c r="H13" s="39">
        <v>4419</v>
      </c>
      <c r="I13" s="39">
        <v>4307</v>
      </c>
      <c r="J13" s="39">
        <v>4980</v>
      </c>
      <c r="K13" s="39">
        <v>5598</v>
      </c>
      <c r="L13" s="9">
        <v>4000</v>
      </c>
      <c r="M13" s="9">
        <v>4000</v>
      </c>
      <c r="N13" s="9">
        <v>4000</v>
      </c>
      <c r="O13" s="9">
        <v>4000</v>
      </c>
      <c r="P13" s="9">
        <v>4000</v>
      </c>
    </row>
    <row r="14" spans="1:16" ht="15" customHeight="1" x14ac:dyDescent="0.2">
      <c r="A14" t="s">
        <v>548</v>
      </c>
      <c r="B14" s="39">
        <v>264</v>
      </c>
      <c r="C14" s="39">
        <v>259</v>
      </c>
      <c r="D14" s="39">
        <v>197</v>
      </c>
      <c r="E14" s="39">
        <v>1269</v>
      </c>
      <c r="F14" s="39">
        <v>0</v>
      </c>
      <c r="G14" s="39">
        <v>0</v>
      </c>
      <c r="H14" s="39">
        <v>0</v>
      </c>
      <c r="I14" s="39">
        <v>4021</v>
      </c>
      <c r="J14" s="39">
        <v>3678</v>
      </c>
      <c r="K14" s="39">
        <v>2523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</row>
    <row r="15" spans="1:16" ht="15" customHeight="1" x14ac:dyDescent="0.2">
      <c r="A15" t="s">
        <v>549</v>
      </c>
      <c r="B15" s="39">
        <v>2659</v>
      </c>
      <c r="C15" s="39">
        <v>2383</v>
      </c>
      <c r="D15" s="39">
        <v>2453</v>
      </c>
      <c r="E15" s="39">
        <v>2727</v>
      </c>
      <c r="F15" s="39">
        <v>2784</v>
      </c>
      <c r="G15" s="39">
        <v>2766</v>
      </c>
      <c r="H15" s="39">
        <v>2790</v>
      </c>
      <c r="I15" s="39">
        <v>2729</v>
      </c>
      <c r="J15" s="39">
        <v>2742</v>
      </c>
      <c r="K15" s="39">
        <v>2550</v>
      </c>
      <c r="L15" s="9">
        <v>2500</v>
      </c>
      <c r="M15" s="9">
        <v>2500</v>
      </c>
      <c r="N15" s="9">
        <v>2500</v>
      </c>
      <c r="O15" s="9">
        <v>2500</v>
      </c>
      <c r="P15" s="9">
        <v>2500</v>
      </c>
    </row>
    <row r="16" spans="1:16" ht="15" customHeight="1" x14ac:dyDescent="0.2">
      <c r="A16" t="s">
        <v>550</v>
      </c>
      <c r="B16" s="9">
        <f t="shared" ref="B16:K16" si="0">B20-B8-B9-B10-B11-B12-B13-B14-B15</f>
        <v>2304</v>
      </c>
      <c r="C16" s="9">
        <f t="shared" si="0"/>
        <v>9528</v>
      </c>
      <c r="D16" s="9">
        <f t="shared" si="0"/>
        <v>2449</v>
      </c>
      <c r="E16" s="9">
        <f t="shared" si="0"/>
        <v>-8601</v>
      </c>
      <c r="F16" s="9">
        <f t="shared" si="0"/>
        <v>14151</v>
      </c>
      <c r="G16" s="9">
        <f t="shared" si="0"/>
        <v>15447</v>
      </c>
      <c r="H16" s="9">
        <f t="shared" si="0"/>
        <v>-13553</v>
      </c>
      <c r="I16" s="9">
        <f t="shared" si="0"/>
        <v>-6458</v>
      </c>
      <c r="J16" s="9">
        <f t="shared" si="0"/>
        <v>13341</v>
      </c>
      <c r="K16" s="9">
        <f t="shared" si="0"/>
        <v>-15107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</row>
    <row r="17" spans="1:16" ht="15" customHeight="1" x14ac:dyDescent="0.2">
      <c r="A17" t="s">
        <v>551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</row>
    <row r="18" spans="1:16" ht="15" customHeight="1" x14ac:dyDescent="0.2">
      <c r="A18" t="s">
        <v>552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20" spans="1:16" ht="15" customHeight="1" x14ac:dyDescent="0.2">
      <c r="A20" t="s">
        <v>553</v>
      </c>
      <c r="B20" s="39">
        <v>63584</v>
      </c>
      <c r="C20" s="39">
        <v>82916</v>
      </c>
      <c r="D20" s="39">
        <v>89738</v>
      </c>
      <c r="E20" s="39">
        <v>95208</v>
      </c>
      <c r="F20" s="39">
        <v>123514</v>
      </c>
      <c r="G20" s="39">
        <v>140860</v>
      </c>
      <c r="H20" s="39">
        <v>125331</v>
      </c>
      <c r="I20" s="39">
        <v>139734</v>
      </c>
      <c r="J20" s="39">
        <v>160140</v>
      </c>
      <c r="K20" s="39">
        <v>145940</v>
      </c>
      <c r="L20" s="9">
        <f>SUM(L8:L18)</f>
        <v>161858.58881552017</v>
      </c>
      <c r="M20" s="9">
        <f>SUM(M8:M18)</f>
        <v>169180.54256341228</v>
      </c>
      <c r="N20" s="9">
        <f>SUM(N8:N18)</f>
        <v>176874.46932759054</v>
      </c>
      <c r="O20" s="9">
        <f>SUM(O8:O18)</f>
        <v>185602.80184599158</v>
      </c>
      <c r="P20" s="9">
        <f>SUM(P8:P18)</f>
        <v>193851.62362895533</v>
      </c>
    </row>
    <row r="21" spans="1:16" ht="15" customHeight="1" x14ac:dyDescent="0.2">
      <c r="A21" t="s">
        <v>554</v>
      </c>
      <c r="B21" s="39">
        <v>63584</v>
      </c>
      <c r="C21" s="39">
        <v>82916</v>
      </c>
      <c r="D21" s="39">
        <v>89738</v>
      </c>
      <c r="E21" s="39">
        <v>95208</v>
      </c>
      <c r="F21" s="39">
        <v>123514</v>
      </c>
      <c r="G21" s="39">
        <v>140860</v>
      </c>
      <c r="H21" s="39">
        <v>125331</v>
      </c>
      <c r="I21" s="39">
        <v>139734</v>
      </c>
      <c r="J21" s="39">
        <v>160140</v>
      </c>
      <c r="K21" s="39">
        <v>145940</v>
      </c>
      <c r="L21" s="9">
        <f>L20</f>
        <v>161858.58881552017</v>
      </c>
      <c r="M21" s="9">
        <f>M20</f>
        <v>169180.54256341228</v>
      </c>
      <c r="N21" s="9">
        <f>N20</f>
        <v>176874.46932759054</v>
      </c>
      <c r="O21" s="9">
        <f>O20</f>
        <v>185602.80184599158</v>
      </c>
      <c r="P21" s="9">
        <f>P20</f>
        <v>193851.62362895533</v>
      </c>
    </row>
    <row r="23" spans="1:16" ht="15" customHeight="1" x14ac:dyDescent="0.2">
      <c r="A23" s="2" t="s">
        <v>555</v>
      </c>
    </row>
    <row r="24" spans="1:16" ht="15" customHeight="1" x14ac:dyDescent="0.2">
      <c r="A24" t="s">
        <v>55</v>
      </c>
      <c r="B24" s="39">
        <v>-33460</v>
      </c>
      <c r="C24" s="39">
        <v>-31172</v>
      </c>
      <c r="D24" s="39">
        <v>-47814</v>
      </c>
      <c r="E24" s="39">
        <v>-73419</v>
      </c>
      <c r="F24" s="39">
        <v>-69651</v>
      </c>
      <c r="G24" s="39">
        <v>-76812</v>
      </c>
      <c r="H24" s="39">
        <v>-93920</v>
      </c>
      <c r="I24" s="39">
        <v>-98386</v>
      </c>
      <c r="J24" s="39">
        <v>-93908</v>
      </c>
      <c r="K24" s="39">
        <v>-79608</v>
      </c>
      <c r="L24" s="11">
        <f>-Assumptions!B63</f>
        <v>-82610.5</v>
      </c>
      <c r="M24" s="11">
        <f>-Assumptions!C63</f>
        <v>-82610.5</v>
      </c>
      <c r="N24" s="11">
        <f>-Assumptions!D63</f>
        <v>-82610.5</v>
      </c>
      <c r="O24" s="11">
        <f>-Assumptions!E63</f>
        <v>-82610.5</v>
      </c>
      <c r="P24" s="11">
        <f>-Assumptions!F63</f>
        <v>-82610.5</v>
      </c>
    </row>
    <row r="25" spans="1:16" ht="15" customHeight="1" x14ac:dyDescent="0.2">
      <c r="A25" t="s">
        <v>556</v>
      </c>
      <c r="B25" s="39">
        <v>-46897</v>
      </c>
      <c r="C25" s="39">
        <v>-181459</v>
      </c>
      <c r="D25" s="39">
        <v>-229349</v>
      </c>
      <c r="E25" s="39">
        <v>-133426</v>
      </c>
      <c r="F25" s="39">
        <v>-206274</v>
      </c>
      <c r="G25" s="39">
        <v>-338068</v>
      </c>
      <c r="H25" s="39">
        <v>-103338</v>
      </c>
      <c r="I25" s="39">
        <v>-13153</v>
      </c>
      <c r="J25" s="39">
        <v>-17007</v>
      </c>
      <c r="K25" s="39">
        <v>-75580</v>
      </c>
      <c r="L25" s="11">
        <f>-Assumptions!B28</f>
        <v>0</v>
      </c>
      <c r="M25" s="11">
        <f>-Assumptions!C28</f>
        <v>0</v>
      </c>
      <c r="N25" s="11">
        <f>-Assumptions!D28</f>
        <v>0</v>
      </c>
      <c r="O25" s="11">
        <f>-Assumptions!E28</f>
        <v>0</v>
      </c>
      <c r="P25" s="11">
        <f>-Assumptions!F28</f>
        <v>0</v>
      </c>
    </row>
    <row r="27" spans="1:16" ht="15" customHeight="1" x14ac:dyDescent="0.2">
      <c r="A27" t="s">
        <v>557</v>
      </c>
      <c r="B27" s="39">
        <v>8</v>
      </c>
      <c r="C27" s="39">
        <v>0</v>
      </c>
      <c r="D27" s="39">
        <v>1460</v>
      </c>
      <c r="E27" s="39">
        <v>11520</v>
      </c>
      <c r="F27" s="39">
        <v>0</v>
      </c>
      <c r="G27" s="39">
        <v>0</v>
      </c>
      <c r="H27" s="39">
        <v>0</v>
      </c>
      <c r="I27" s="39">
        <v>91307</v>
      </c>
      <c r="J27" s="39">
        <v>39067</v>
      </c>
      <c r="K27" s="39">
        <v>81426</v>
      </c>
      <c r="L27" s="11">
        <f>Assumptions!B30</f>
        <v>0</v>
      </c>
      <c r="M27" s="11">
        <f>Assumptions!C30</f>
        <v>0</v>
      </c>
      <c r="N27" s="11">
        <f>Assumptions!D30</f>
        <v>0</v>
      </c>
      <c r="O27" s="11">
        <f>Assumptions!E30</f>
        <v>0</v>
      </c>
      <c r="P27" s="11">
        <f>Assumptions!F30</f>
        <v>0</v>
      </c>
    </row>
    <row r="28" spans="1:16" ht="15" customHeight="1" x14ac:dyDescent="0.2">
      <c r="A28" t="s">
        <v>148</v>
      </c>
      <c r="B28" s="39">
        <v>-25324</v>
      </c>
      <c r="C28" s="39">
        <v>-53313</v>
      </c>
      <c r="D28" s="39">
        <v>-60477</v>
      </c>
      <c r="E28" s="39">
        <v>-38390</v>
      </c>
      <c r="F28" s="39">
        <v>-81975</v>
      </c>
      <c r="G28" s="39">
        <v>-77962</v>
      </c>
      <c r="H28" s="39">
        <v>-80077</v>
      </c>
      <c r="I28" s="39">
        <v>-49947</v>
      </c>
      <c r="J28" s="39">
        <v>-52192</v>
      </c>
      <c r="K28" s="39">
        <v>-74066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30" spans="1:16" ht="15" customHeight="1" x14ac:dyDescent="0.2">
      <c r="A30" t="s">
        <v>558</v>
      </c>
      <c r="B30" s="9">
        <f t="shared" ref="B30:P30" si="1">SUM(B24:B28)</f>
        <v>-105673</v>
      </c>
      <c r="C30" s="9">
        <f t="shared" si="1"/>
        <v>-265944</v>
      </c>
      <c r="D30" s="9">
        <f t="shared" si="1"/>
        <v>-336180</v>
      </c>
      <c r="E30" s="9">
        <f t="shared" si="1"/>
        <v>-233715</v>
      </c>
      <c r="F30" s="9">
        <f t="shared" si="1"/>
        <v>-357900</v>
      </c>
      <c r="G30" s="9">
        <f t="shared" si="1"/>
        <v>-492842</v>
      </c>
      <c r="H30" s="9">
        <f t="shared" si="1"/>
        <v>-277335</v>
      </c>
      <c r="I30" s="9">
        <f t="shared" si="1"/>
        <v>-70179</v>
      </c>
      <c r="J30" s="9">
        <f t="shared" si="1"/>
        <v>-124040</v>
      </c>
      <c r="K30" s="9">
        <f t="shared" si="1"/>
        <v>-147828</v>
      </c>
      <c r="L30" s="9">
        <f t="shared" si="1"/>
        <v>-82610.5</v>
      </c>
      <c r="M30" s="9">
        <f t="shared" si="1"/>
        <v>-82610.5</v>
      </c>
      <c r="N30" s="9">
        <f t="shared" si="1"/>
        <v>-82610.5</v>
      </c>
      <c r="O30" s="9">
        <f t="shared" si="1"/>
        <v>-82610.5</v>
      </c>
      <c r="P30" s="9">
        <f t="shared" si="1"/>
        <v>-82610.5</v>
      </c>
    </row>
    <row r="32" spans="1:16" ht="15" customHeight="1" x14ac:dyDescent="0.2">
      <c r="A32" s="2" t="s">
        <v>559</v>
      </c>
    </row>
    <row r="33" spans="1:16" ht="15" customHeight="1" x14ac:dyDescent="0.2">
      <c r="A33" t="s">
        <v>560</v>
      </c>
      <c r="B33" s="39">
        <v>200537</v>
      </c>
      <c r="C33" s="39">
        <v>183835</v>
      </c>
      <c r="D33" s="39">
        <v>286609</v>
      </c>
      <c r="E33" s="39">
        <v>332658</v>
      </c>
      <c r="F33" s="39">
        <v>433501</v>
      </c>
      <c r="G33" s="39">
        <v>381133</v>
      </c>
      <c r="H33" s="39">
        <v>283027</v>
      </c>
      <c r="I33" s="39">
        <v>366497</v>
      </c>
      <c r="J33" s="39">
        <v>291173</v>
      </c>
      <c r="K33" s="39">
        <v>315075</v>
      </c>
      <c r="L33" s="11">
        <f>Assumptions!B42+Assumptions!B28*Assumptions!B98</f>
        <v>301769</v>
      </c>
      <c r="M33" s="11">
        <f>Assumptions!C42+Assumptions!C28*Assumptions!C98</f>
        <v>192471</v>
      </c>
      <c r="N33" s="11">
        <f>Assumptions!D42+Assumptions!D28*Assumptions!D98</f>
        <v>480037</v>
      </c>
      <c r="O33" s="11">
        <f>Assumptions!E42+Assumptions!E28*Assumptions!E98</f>
        <v>280011</v>
      </c>
      <c r="P33" s="11">
        <f>Assumptions!F42+Assumptions!F28*Assumptions!F98</f>
        <v>395355</v>
      </c>
    </row>
    <row r="34" spans="1:16" ht="15" customHeight="1" x14ac:dyDescent="0.2">
      <c r="A34" t="s">
        <v>561</v>
      </c>
      <c r="B34" s="39">
        <v>-105831</v>
      </c>
      <c r="C34" s="39">
        <v>-76073</v>
      </c>
      <c r="D34" s="39">
        <v>-85579</v>
      </c>
      <c r="E34" s="39">
        <v>-191892</v>
      </c>
      <c r="F34" s="39">
        <v>-187568</v>
      </c>
      <c r="G34" s="39">
        <v>-101866</v>
      </c>
      <c r="H34" s="39">
        <v>-163461</v>
      </c>
      <c r="I34" s="39">
        <v>-149320</v>
      </c>
      <c r="J34" s="39">
        <v>-206291</v>
      </c>
      <c r="K34" s="39">
        <v>-232861</v>
      </c>
      <c r="L34" s="11">
        <f>-Assumptions!B42-Assumptions!B30*Assumptions!B98</f>
        <v>-301769</v>
      </c>
      <c r="M34" s="11">
        <f>-Assumptions!C42-Assumptions!C30*Assumptions!C98</f>
        <v>-192471</v>
      </c>
      <c r="N34" s="11">
        <f>-Assumptions!D42-Assumptions!D30*Assumptions!D98</f>
        <v>-480037</v>
      </c>
      <c r="O34" s="11">
        <f>-Assumptions!E42-Assumptions!E30*Assumptions!E98</f>
        <v>-280011</v>
      </c>
      <c r="P34" s="11">
        <f>-Assumptions!F42-Assumptions!F30*Assumptions!F98</f>
        <v>-395355</v>
      </c>
    </row>
    <row r="35" spans="1:16" ht="15" customHeight="1" x14ac:dyDescent="0.2">
      <c r="A35" t="s">
        <v>562</v>
      </c>
      <c r="B35" s="39">
        <v>-31662</v>
      </c>
      <c r="C35" s="39">
        <v>-35467</v>
      </c>
      <c r="D35" s="39">
        <v>-39662</v>
      </c>
      <c r="E35" s="39">
        <v>-44792</v>
      </c>
      <c r="F35" s="39">
        <v>-51592</v>
      </c>
      <c r="G35" s="39">
        <v>-62246</v>
      </c>
      <c r="H35" s="39">
        <v>-69033</v>
      </c>
      <c r="I35" s="39">
        <v>-69833</v>
      </c>
      <c r="J35" s="39">
        <v>-67631</v>
      </c>
      <c r="K35" s="39">
        <v>-67320</v>
      </c>
      <c r="L35" s="9">
        <f>-Assumptions!B45</f>
        <v>-67000</v>
      </c>
      <c r="M35" s="9">
        <f>-Assumptions!C45</f>
        <v>-67000</v>
      </c>
      <c r="N35" s="9">
        <f>-Assumptions!D45</f>
        <v>-67000</v>
      </c>
      <c r="O35" s="9">
        <f>-Assumptions!E45</f>
        <v>-67000</v>
      </c>
      <c r="P35" s="9">
        <f>-Assumptions!F45</f>
        <v>-67000</v>
      </c>
    </row>
    <row r="37" spans="1:16" ht="15" customHeight="1" x14ac:dyDescent="0.2">
      <c r="A37" t="s">
        <v>563</v>
      </c>
      <c r="B37" s="39">
        <v>-31515</v>
      </c>
      <c r="C37" s="39">
        <v>-36711</v>
      </c>
      <c r="D37" s="39">
        <v>-41618</v>
      </c>
      <c r="E37" s="39">
        <v>-45041</v>
      </c>
      <c r="F37" s="39">
        <v>-49633</v>
      </c>
      <c r="G37" s="39">
        <v>-51455</v>
      </c>
      <c r="H37" s="39">
        <v>-59094</v>
      </c>
      <c r="I37" s="39">
        <v>-57197</v>
      </c>
      <c r="J37" s="39">
        <v>-60487</v>
      </c>
      <c r="K37" s="39">
        <v>-63106</v>
      </c>
      <c r="L37" s="9">
        <f>-Assumptions!B70*Assumptions!B66*(1-Assumptions!B68)</f>
        <v>-65605.917600000001</v>
      </c>
      <c r="M37" s="9">
        <f>-Assumptions!C70*Assumptions!C66*(1-Assumptions!C68)</f>
        <v>-66391.249520039404</v>
      </c>
      <c r="N37" s="9">
        <f>-Assumptions!D70*Assumptions!D66*(1-Assumptions!D68)</f>
        <v>-67185.9822113384</v>
      </c>
      <c r="O37" s="9">
        <f>-Assumptions!E70*Assumptions!E66*(1-Assumptions!E68)</f>
        <v>-67990.228205296778</v>
      </c>
      <c r="P37" s="9">
        <f>-Assumptions!F70*Assumptions!F66*(1-Assumptions!F68)</f>
        <v>-68804.101380365115</v>
      </c>
    </row>
    <row r="38" spans="1:16" ht="15" customHeight="1" x14ac:dyDescent="0.2">
      <c r="A38" t="s">
        <v>564</v>
      </c>
      <c r="B38" s="39">
        <v>93491</v>
      </c>
      <c r="C38" s="39">
        <v>147285</v>
      </c>
      <c r="D38" s="39">
        <v>54852</v>
      </c>
      <c r="E38" s="39">
        <v>191729</v>
      </c>
      <c r="F38" s="39">
        <v>65782</v>
      </c>
      <c r="G38" s="39">
        <v>104361</v>
      </c>
      <c r="H38" s="39">
        <v>93471</v>
      </c>
      <c r="I38" s="39">
        <v>0</v>
      </c>
      <c r="J38" s="39">
        <v>0</v>
      </c>
      <c r="K38" s="39">
        <v>0</v>
      </c>
      <c r="L38" s="11">
        <f>Assumptions!B28*(1-Assumptions!B98)</f>
        <v>0</v>
      </c>
      <c r="M38" s="11">
        <f>Assumptions!C28*(1-Assumptions!C98)</f>
        <v>0</v>
      </c>
      <c r="N38" s="11">
        <f>Assumptions!D28*(1-Assumptions!D98)</f>
        <v>0</v>
      </c>
      <c r="O38" s="11">
        <f>Assumptions!E28*(1-Assumptions!E98)</f>
        <v>0</v>
      </c>
      <c r="P38" s="11">
        <f>Assumptions!F28*(1-Assumptions!F98)</f>
        <v>0</v>
      </c>
    </row>
    <row r="39" spans="1:16" ht="15" customHeight="1" x14ac:dyDescent="0.2">
      <c r="A39" t="s">
        <v>565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-276</v>
      </c>
      <c r="K39" s="39">
        <v>-2484</v>
      </c>
      <c r="L39" s="11">
        <f>Assumptions!B83</f>
        <v>0</v>
      </c>
      <c r="M39" s="11">
        <f>Assumptions!C83</f>
        <v>0</v>
      </c>
      <c r="N39" s="11">
        <f>Assumptions!D83</f>
        <v>0</v>
      </c>
      <c r="O39" s="11">
        <f>Assumptions!E83</f>
        <v>0</v>
      </c>
      <c r="P39" s="11">
        <f>Assumptions!F83</f>
        <v>0</v>
      </c>
    </row>
    <row r="40" spans="1:16" ht="15" customHeight="1" x14ac:dyDescent="0.2">
      <c r="A40" t="s">
        <v>566</v>
      </c>
      <c r="B40" s="39">
        <v>0</v>
      </c>
      <c r="C40" s="39">
        <v>0</v>
      </c>
      <c r="D40" s="39">
        <v>53350</v>
      </c>
      <c r="E40" s="39">
        <v>-53350</v>
      </c>
      <c r="F40" s="39">
        <v>7029</v>
      </c>
      <c r="G40" s="39">
        <v>54701</v>
      </c>
      <c r="H40" s="39">
        <v>59284</v>
      </c>
      <c r="I40" s="39">
        <v>-80137</v>
      </c>
      <c r="J40" s="39">
        <v>13861</v>
      </c>
      <c r="K40" s="39">
        <v>20016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t="s">
        <v>567</v>
      </c>
      <c r="B41" s="39">
        <v>0</v>
      </c>
      <c r="C41" s="39">
        <v>0</v>
      </c>
      <c r="D41" s="39">
        <v>19455</v>
      </c>
      <c r="E41" s="39">
        <v>-35651</v>
      </c>
      <c r="F41" s="39">
        <v>16494</v>
      </c>
      <c r="G41" s="39">
        <v>36251</v>
      </c>
      <c r="H41" s="39">
        <v>17376</v>
      </c>
      <c r="I41" s="39">
        <v>-65297</v>
      </c>
      <c r="J41" s="39">
        <v>3768</v>
      </c>
      <c r="K41" s="39">
        <v>38865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t="s">
        <v>568</v>
      </c>
      <c r="B42" s="39">
        <v>-74213</v>
      </c>
      <c r="C42" s="39">
        <v>-58570</v>
      </c>
      <c r="D42" s="39">
        <v>-80530</v>
      </c>
      <c r="E42" s="39">
        <v>-6722</v>
      </c>
      <c r="F42" s="39">
        <v>-10177</v>
      </c>
      <c r="G42" s="39">
        <v>-6006</v>
      </c>
      <c r="H42" s="39">
        <v>-7108</v>
      </c>
      <c r="I42" s="39">
        <v>-8591</v>
      </c>
      <c r="J42" s="39">
        <v>-11252</v>
      </c>
      <c r="K42" s="39">
        <v>-14792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4" spans="1:16" ht="15" customHeight="1" x14ac:dyDescent="0.2">
      <c r="A44" t="s">
        <v>569</v>
      </c>
      <c r="B44" s="9">
        <f t="shared" ref="B44:P44" si="2">SUM(B33:B42)</f>
        <v>50807</v>
      </c>
      <c r="C44" s="9">
        <f t="shared" si="2"/>
        <v>124299</v>
      </c>
      <c r="D44" s="9">
        <f t="shared" si="2"/>
        <v>166877</v>
      </c>
      <c r="E44" s="9">
        <f t="shared" si="2"/>
        <v>146939</v>
      </c>
      <c r="F44" s="9">
        <f t="shared" si="2"/>
        <v>223836</v>
      </c>
      <c r="G44" s="9">
        <f t="shared" si="2"/>
        <v>354873</v>
      </c>
      <c r="H44" s="9">
        <f t="shared" si="2"/>
        <v>154462</v>
      </c>
      <c r="I44" s="9">
        <f t="shared" si="2"/>
        <v>-63878</v>
      </c>
      <c r="J44" s="9">
        <f t="shared" si="2"/>
        <v>-37135</v>
      </c>
      <c r="K44" s="9">
        <f t="shared" si="2"/>
        <v>-6607</v>
      </c>
      <c r="L44" s="9">
        <f t="shared" si="2"/>
        <v>-132605.91759999999</v>
      </c>
      <c r="M44" s="9">
        <f t="shared" si="2"/>
        <v>-133391.24952003942</v>
      </c>
      <c r="N44" s="9">
        <f t="shared" si="2"/>
        <v>-134185.98221133841</v>
      </c>
      <c r="O44" s="9">
        <f t="shared" si="2"/>
        <v>-134990.22820529679</v>
      </c>
      <c r="P44" s="9">
        <f t="shared" si="2"/>
        <v>-135804.10138036511</v>
      </c>
    </row>
    <row r="48" spans="1:16" ht="15" customHeight="1" x14ac:dyDescent="0.2">
      <c r="A48" s="2" t="s">
        <v>570</v>
      </c>
    </row>
    <row r="49" spans="1:16" ht="15" customHeight="1" x14ac:dyDescent="0.2">
      <c r="A49" t="s">
        <v>553</v>
      </c>
      <c r="B49" s="9">
        <f t="shared" ref="B49:P49" si="3">B20</f>
        <v>63584</v>
      </c>
      <c r="C49" s="9">
        <f t="shared" si="3"/>
        <v>82916</v>
      </c>
      <c r="D49" s="9">
        <f t="shared" si="3"/>
        <v>89738</v>
      </c>
      <c r="E49" s="9">
        <f t="shared" si="3"/>
        <v>95208</v>
      </c>
      <c r="F49" s="9">
        <f t="shared" si="3"/>
        <v>123514</v>
      </c>
      <c r="G49" s="9">
        <f t="shared" si="3"/>
        <v>140860</v>
      </c>
      <c r="H49" s="9">
        <f t="shared" si="3"/>
        <v>125331</v>
      </c>
      <c r="I49" s="9">
        <f t="shared" si="3"/>
        <v>139734</v>
      </c>
      <c r="J49" s="9">
        <f t="shared" si="3"/>
        <v>160140</v>
      </c>
      <c r="K49" s="9">
        <f t="shared" si="3"/>
        <v>145940</v>
      </c>
      <c r="L49" s="9">
        <f t="shared" si="3"/>
        <v>161858.58881552017</v>
      </c>
      <c r="M49" s="9">
        <f t="shared" si="3"/>
        <v>169180.54256341228</v>
      </c>
      <c r="N49" s="9">
        <f t="shared" si="3"/>
        <v>176874.46932759054</v>
      </c>
      <c r="O49" s="9">
        <f t="shared" si="3"/>
        <v>185602.80184599158</v>
      </c>
      <c r="P49" s="9">
        <f t="shared" si="3"/>
        <v>193851.62362895533</v>
      </c>
    </row>
    <row r="50" spans="1:16" ht="15" customHeight="1" x14ac:dyDescent="0.2">
      <c r="A50" t="s">
        <v>571</v>
      </c>
      <c r="B50" s="9">
        <f t="shared" ref="B50:P50" si="4">B24</f>
        <v>-33460</v>
      </c>
      <c r="C50" s="9">
        <f t="shared" si="4"/>
        <v>-31172</v>
      </c>
      <c r="D50" s="9">
        <f t="shared" si="4"/>
        <v>-47814</v>
      </c>
      <c r="E50" s="9">
        <f t="shared" si="4"/>
        <v>-73419</v>
      </c>
      <c r="F50" s="9">
        <f t="shared" si="4"/>
        <v>-69651</v>
      </c>
      <c r="G50" s="9">
        <f t="shared" si="4"/>
        <v>-76812</v>
      </c>
      <c r="H50" s="9">
        <f t="shared" si="4"/>
        <v>-93920</v>
      </c>
      <c r="I50" s="9">
        <f t="shared" si="4"/>
        <v>-98386</v>
      </c>
      <c r="J50" s="9">
        <f t="shared" si="4"/>
        <v>-93908</v>
      </c>
      <c r="K50" s="9">
        <f t="shared" si="4"/>
        <v>-79608</v>
      </c>
      <c r="L50" s="9">
        <f t="shared" si="4"/>
        <v>-82610.5</v>
      </c>
      <c r="M50" s="9">
        <f t="shared" si="4"/>
        <v>-82610.5</v>
      </c>
      <c r="N50" s="9">
        <f t="shared" si="4"/>
        <v>-82610.5</v>
      </c>
      <c r="O50" s="9">
        <f t="shared" si="4"/>
        <v>-82610.5</v>
      </c>
      <c r="P50" s="9">
        <f t="shared" si="4"/>
        <v>-82610.5</v>
      </c>
    </row>
    <row r="51" spans="1:16" ht="15" customHeight="1" x14ac:dyDescent="0.2">
      <c r="A51" t="s">
        <v>572</v>
      </c>
      <c r="B51" s="9">
        <f t="shared" ref="B51:P51" si="5">B35</f>
        <v>-31662</v>
      </c>
      <c r="C51" s="9">
        <f t="shared" si="5"/>
        <v>-35467</v>
      </c>
      <c r="D51" s="9">
        <f t="shared" si="5"/>
        <v>-39662</v>
      </c>
      <c r="E51" s="9">
        <f t="shared" si="5"/>
        <v>-44792</v>
      </c>
      <c r="F51" s="9">
        <f t="shared" si="5"/>
        <v>-51592</v>
      </c>
      <c r="G51" s="9">
        <f t="shared" si="5"/>
        <v>-62246</v>
      </c>
      <c r="H51" s="9">
        <f t="shared" si="5"/>
        <v>-69033</v>
      </c>
      <c r="I51" s="9">
        <f t="shared" si="5"/>
        <v>-69833</v>
      </c>
      <c r="J51" s="9">
        <f t="shared" si="5"/>
        <v>-67631</v>
      </c>
      <c r="K51" s="9">
        <f t="shared" si="5"/>
        <v>-67320</v>
      </c>
      <c r="L51" s="9">
        <f t="shared" si="5"/>
        <v>-67000</v>
      </c>
      <c r="M51" s="9">
        <f t="shared" si="5"/>
        <v>-67000</v>
      </c>
      <c r="N51" s="9">
        <f t="shared" si="5"/>
        <v>-67000</v>
      </c>
      <c r="O51" s="9">
        <f t="shared" si="5"/>
        <v>-67000</v>
      </c>
      <c r="P51" s="9">
        <f t="shared" si="5"/>
        <v>-67000</v>
      </c>
    </row>
    <row r="53" spans="1:16" ht="15" customHeight="1" x14ac:dyDescent="0.2">
      <c r="A53" t="s">
        <v>573</v>
      </c>
      <c r="B53" s="9">
        <f t="shared" ref="B53:P53" si="6">B49+B50</f>
        <v>30124</v>
      </c>
      <c r="C53" s="9">
        <f t="shared" si="6"/>
        <v>51744</v>
      </c>
      <c r="D53" s="9">
        <f t="shared" si="6"/>
        <v>41924</v>
      </c>
      <c r="E53" s="9">
        <f t="shared" si="6"/>
        <v>21789</v>
      </c>
      <c r="F53" s="9">
        <f t="shared" si="6"/>
        <v>53863</v>
      </c>
      <c r="G53" s="9">
        <f t="shared" si="6"/>
        <v>64048</v>
      </c>
      <c r="H53" s="9">
        <f t="shared" si="6"/>
        <v>31411</v>
      </c>
      <c r="I53" s="9">
        <f t="shared" si="6"/>
        <v>41348</v>
      </c>
      <c r="J53" s="9">
        <f t="shared" si="6"/>
        <v>66232</v>
      </c>
      <c r="K53" s="9">
        <f t="shared" si="6"/>
        <v>66332</v>
      </c>
      <c r="L53" s="9">
        <f t="shared" si="6"/>
        <v>79248.088815520168</v>
      </c>
      <c r="M53" s="9">
        <f t="shared" si="6"/>
        <v>86570.04256341228</v>
      </c>
      <c r="N53" s="9">
        <f t="shared" si="6"/>
        <v>94263.969327590545</v>
      </c>
      <c r="O53" s="9">
        <f t="shared" si="6"/>
        <v>102992.30184599158</v>
      </c>
      <c r="P53" s="9">
        <f t="shared" si="6"/>
        <v>111241.12362895533</v>
      </c>
    </row>
    <row r="54" spans="1:16" ht="15" customHeight="1" x14ac:dyDescent="0.2">
      <c r="A54" t="s">
        <v>57</v>
      </c>
      <c r="B54" s="3">
        <f>IF(IS!B51=0,"-",B53/IS!B51)</f>
        <v>0.43932389272120054</v>
      </c>
      <c r="C54" s="3">
        <f>IF(IS!C51=0,"-",C53/IS!C51)</f>
        <v>0.65783518523227136</v>
      </c>
      <c r="D54" s="3">
        <f>IF(IS!D51=0,"-",D53/IS!D51)</f>
        <v>0.48086253369272236</v>
      </c>
      <c r="E54" s="3">
        <f>IF(IS!E51=0,"-",E53/IS!E51)</f>
        <v>0.22717225848155639</v>
      </c>
      <c r="F54" s="3">
        <f>IF(IS!F51=0,"-",F53/IS!F51)</f>
        <v>0.515420609934643</v>
      </c>
      <c r="G54" s="3">
        <f>IF(IS!G51=0,"-",G53/IS!G51)</f>
        <v>0.57377313529106122</v>
      </c>
      <c r="H54" s="3">
        <f>IF(IS!H51=0,"-",H53/IS!H51)</f>
        <v>0.26255255481163853</v>
      </c>
      <c r="I54" s="3">
        <f>IF(IS!I51=0,"-",I53/IS!I51)</f>
        <v>0.33987637272308807</v>
      </c>
      <c r="J54" s="3">
        <f>IF(IS!J51=0,"-",J53/IS!J51)</f>
        <v>0.53793361110434279</v>
      </c>
      <c r="K54" s="3">
        <f>IF(IS!K51=0,"-",K53/IS!K51)</f>
        <v>0.53258609199739859</v>
      </c>
      <c r="L54" s="3">
        <f>IF(IS!L51=0,"-",L53/IS!L51)</f>
        <v>0.63111650636498851</v>
      </c>
      <c r="M54" s="3">
        <f>IF(IS!M51=0,"-",M53/IS!M51)</f>
        <v>0.68127200693650969</v>
      </c>
      <c r="N54" s="3">
        <f>IF(IS!N51=0,"-",N53/IS!N51)</f>
        <v>0.73304529141444863</v>
      </c>
      <c r="O54" s="3">
        <f>IF(IS!O51=0,"-",O53/IS!O51)</f>
        <v>0.7914473357808991</v>
      </c>
      <c r="P54" s="3">
        <f>IF(IS!P51=0,"-",P53/IS!P51)</f>
        <v>0.8447239265173494</v>
      </c>
    </row>
    <row r="56" spans="1:16" ht="15" customHeight="1" x14ac:dyDescent="0.2">
      <c r="A56" t="s">
        <v>574</v>
      </c>
      <c r="B56" s="9">
        <f t="shared" ref="B56:P56" si="7">-B37</f>
        <v>31515</v>
      </c>
      <c r="C56" s="9">
        <f t="shared" si="7"/>
        <v>36711</v>
      </c>
      <c r="D56" s="9">
        <f t="shared" si="7"/>
        <v>41618</v>
      </c>
      <c r="E56" s="9">
        <f t="shared" si="7"/>
        <v>45041</v>
      </c>
      <c r="F56" s="9">
        <f t="shared" si="7"/>
        <v>49633</v>
      </c>
      <c r="G56" s="9">
        <f t="shared" si="7"/>
        <v>51455</v>
      </c>
      <c r="H56" s="9">
        <f t="shared" si="7"/>
        <v>59094</v>
      </c>
      <c r="I56" s="9">
        <f t="shared" si="7"/>
        <v>57197</v>
      </c>
      <c r="J56" s="9">
        <f t="shared" si="7"/>
        <v>60487</v>
      </c>
      <c r="K56" s="9">
        <f t="shared" si="7"/>
        <v>63106</v>
      </c>
      <c r="L56" s="9">
        <f t="shared" si="7"/>
        <v>65605.917600000001</v>
      </c>
      <c r="M56" s="9">
        <f t="shared" si="7"/>
        <v>66391.249520039404</v>
      </c>
      <c r="N56" s="9">
        <f t="shared" si="7"/>
        <v>67185.9822113384</v>
      </c>
      <c r="O56" s="9">
        <f t="shared" si="7"/>
        <v>67990.228205296778</v>
      </c>
      <c r="P56" s="9">
        <f t="shared" si="7"/>
        <v>68804.101380365115</v>
      </c>
    </row>
    <row r="57" spans="1:16" ht="15" customHeight="1" x14ac:dyDescent="0.2">
      <c r="A57" t="s">
        <v>58</v>
      </c>
      <c r="B57" s="4">
        <f t="shared" ref="B57:P57" si="8">IF(B53=0,"-",B56/B53)</f>
        <v>1.0461758066657814</v>
      </c>
      <c r="C57" s="4">
        <f t="shared" si="8"/>
        <v>0.70947356215213353</v>
      </c>
      <c r="D57" s="4">
        <f t="shared" si="8"/>
        <v>0.99270107814139874</v>
      </c>
      <c r="E57" s="4">
        <f t="shared" si="8"/>
        <v>2.067143971728854</v>
      </c>
      <c r="F57" s="4">
        <f t="shared" si="8"/>
        <v>0.92146742661938619</v>
      </c>
      <c r="G57" s="4">
        <f t="shared" si="8"/>
        <v>0.80338183862103418</v>
      </c>
      <c r="H57" s="4">
        <f t="shared" si="8"/>
        <v>1.8813154627359843</v>
      </c>
      <c r="I57" s="4">
        <f t="shared" si="8"/>
        <v>1.3833075360356002</v>
      </c>
      <c r="J57" s="4">
        <f t="shared" si="8"/>
        <v>0.91325945162459232</v>
      </c>
      <c r="K57" s="4">
        <f t="shared" si="8"/>
        <v>0.95136585660013262</v>
      </c>
      <c r="L57" s="4">
        <f t="shared" si="8"/>
        <v>0.8278548868569251</v>
      </c>
      <c r="M57" s="4">
        <f t="shared" si="8"/>
        <v>0.76690789970916351</v>
      </c>
      <c r="N57" s="4">
        <f t="shared" si="8"/>
        <v>0.71274297794367791</v>
      </c>
      <c r="O57" s="4">
        <f t="shared" si="8"/>
        <v>0.66014864205059942</v>
      </c>
      <c r="P57" s="4">
        <f t="shared" si="8"/>
        <v>0.61851318231790908</v>
      </c>
    </row>
    <row r="58" spans="1:16" ht="15" customHeight="1" x14ac:dyDescent="0.2">
      <c r="A58" t="s">
        <v>575</v>
      </c>
      <c r="B58" s="9">
        <f t="shared" ref="B58:P58" si="9">B53-B56</f>
        <v>-1391</v>
      </c>
      <c r="C58" s="9">
        <f t="shared" si="9"/>
        <v>15033</v>
      </c>
      <c r="D58" s="9">
        <f t="shared" si="9"/>
        <v>306</v>
      </c>
      <c r="E58" s="9">
        <f t="shared" si="9"/>
        <v>-23252</v>
      </c>
      <c r="F58" s="9">
        <f t="shared" si="9"/>
        <v>4230</v>
      </c>
      <c r="G58" s="9">
        <f t="shared" si="9"/>
        <v>12593</v>
      </c>
      <c r="H58" s="9">
        <f t="shared" si="9"/>
        <v>-27683</v>
      </c>
      <c r="I58" s="9">
        <f t="shared" si="9"/>
        <v>-15849</v>
      </c>
      <c r="J58" s="9">
        <f t="shared" si="9"/>
        <v>5745</v>
      </c>
      <c r="K58" s="9">
        <f t="shared" si="9"/>
        <v>3226</v>
      </c>
      <c r="L58" s="9">
        <f t="shared" si="9"/>
        <v>13642.171215520168</v>
      </c>
      <c r="M58" s="9">
        <f t="shared" si="9"/>
        <v>20178.793043372876</v>
      </c>
      <c r="N58" s="9">
        <f t="shared" si="9"/>
        <v>27077.987116252145</v>
      </c>
      <c r="O58" s="9">
        <f t="shared" si="9"/>
        <v>35002.073640694798</v>
      </c>
      <c r="P58" s="9">
        <f t="shared" si="9"/>
        <v>42437.02224859022</v>
      </c>
    </row>
    <row r="60" spans="1:16" ht="15" customHeight="1" x14ac:dyDescent="0.2">
      <c r="A60" t="s">
        <v>576</v>
      </c>
      <c r="B60" s="9">
        <f t="shared" ref="B60:P60" si="10">B53+B51-B56</f>
        <v>-33053</v>
      </c>
      <c r="C60" s="9">
        <f t="shared" si="10"/>
        <v>-20434</v>
      </c>
      <c r="D60" s="9">
        <f t="shared" si="10"/>
        <v>-39356</v>
      </c>
      <c r="E60" s="9">
        <f t="shared" si="10"/>
        <v>-68044</v>
      </c>
      <c r="F60" s="9">
        <f t="shared" si="10"/>
        <v>-47362</v>
      </c>
      <c r="G60" s="9">
        <f t="shared" si="10"/>
        <v>-49653</v>
      </c>
      <c r="H60" s="9">
        <f t="shared" si="10"/>
        <v>-96716</v>
      </c>
      <c r="I60" s="9">
        <f t="shared" si="10"/>
        <v>-85682</v>
      </c>
      <c r="J60" s="9">
        <f t="shared" si="10"/>
        <v>-61886</v>
      </c>
      <c r="K60" s="9">
        <f t="shared" si="10"/>
        <v>-64094</v>
      </c>
      <c r="L60" s="9">
        <f t="shared" si="10"/>
        <v>-53357.828784479832</v>
      </c>
      <c r="M60" s="9">
        <f t="shared" si="10"/>
        <v>-46821.206956627124</v>
      </c>
      <c r="N60" s="9">
        <f t="shared" si="10"/>
        <v>-39922.012883747855</v>
      </c>
      <c r="O60" s="9">
        <f t="shared" si="10"/>
        <v>-31997.926359305202</v>
      </c>
      <c r="P60" s="9">
        <f t="shared" si="10"/>
        <v>-24562.97775140978</v>
      </c>
    </row>
    <row r="62" spans="1:16" ht="15" customHeight="1" x14ac:dyDescent="0.2">
      <c r="A62" s="7" t="s">
        <v>577</v>
      </c>
    </row>
    <row r="63" spans="1:16" ht="15" customHeight="1" x14ac:dyDescent="0.2">
      <c r="A63" s="5" t="s">
        <v>578</v>
      </c>
      <c r="B63" s="44">
        <v>41101</v>
      </c>
      <c r="C63" s="44">
        <v>48832</v>
      </c>
      <c r="D63" s="44">
        <v>56321</v>
      </c>
      <c r="E63" s="44">
        <v>63805</v>
      </c>
      <c r="F63" s="44">
        <v>71731</v>
      </c>
      <c r="G63" s="44">
        <v>77925</v>
      </c>
      <c r="H63" s="44">
        <v>84722</v>
      </c>
      <c r="I63" s="44">
        <v>86114</v>
      </c>
      <c r="J63" s="44">
        <v>87510</v>
      </c>
      <c r="K63" s="44">
        <v>90676</v>
      </c>
      <c r="L63" s="11">
        <f>Assumptions!B75*IS!L66</f>
        <v>90409.018575369453</v>
      </c>
      <c r="M63" s="11">
        <f>Assumptions!C75*IS!M66</f>
        <v>91491.254610532749</v>
      </c>
      <c r="N63" s="11">
        <f>Assumptions!D75*IS!N66</f>
        <v>92586.445490846032</v>
      </c>
      <c r="O63" s="11">
        <f>Assumptions!E75*IS!O66</f>
        <v>93694.746291549251</v>
      </c>
      <c r="P63" s="11">
        <f>Assumptions!F75*IS!P66</f>
        <v>94816.313944201785</v>
      </c>
    </row>
    <row r="64" spans="1:16" ht="15" customHeight="1" x14ac:dyDescent="0.2">
      <c r="A64" s="7" t="s">
        <v>579</v>
      </c>
      <c r="B64" s="13">
        <f t="shared" ref="B64:P64" si="11">B53-B63</f>
        <v>-10977</v>
      </c>
      <c r="C64" s="13">
        <f t="shared" si="11"/>
        <v>2912</v>
      </c>
      <c r="D64" s="13">
        <f t="shared" si="11"/>
        <v>-14397</v>
      </c>
      <c r="E64" s="13">
        <f t="shared" si="11"/>
        <v>-42016</v>
      </c>
      <c r="F64" s="13">
        <f t="shared" si="11"/>
        <v>-17868</v>
      </c>
      <c r="G64" s="13">
        <f t="shared" si="11"/>
        <v>-13877</v>
      </c>
      <c r="H64" s="13">
        <f t="shared" si="11"/>
        <v>-53311</v>
      </c>
      <c r="I64" s="13">
        <f t="shared" si="11"/>
        <v>-44766</v>
      </c>
      <c r="J64" s="13">
        <f t="shared" si="11"/>
        <v>-21278</v>
      </c>
      <c r="K64" s="13">
        <f t="shared" si="11"/>
        <v>-24344</v>
      </c>
      <c r="L64" s="13">
        <f t="shared" si="11"/>
        <v>-11160.929759849285</v>
      </c>
      <c r="M64" s="13">
        <f t="shared" si="11"/>
        <v>-4921.2120471204689</v>
      </c>
      <c r="N64" s="13">
        <f t="shared" si="11"/>
        <v>1677.5238367445127</v>
      </c>
      <c r="O64" s="13">
        <f t="shared" si="11"/>
        <v>9297.555554442326</v>
      </c>
      <c r="P64" s="13">
        <f t="shared" si="11"/>
        <v>16424.809684753549</v>
      </c>
    </row>
    <row r="65" spans="1:16" ht="15" customHeight="1" x14ac:dyDescent="0.2">
      <c r="A65" s="5" t="s">
        <v>580</v>
      </c>
      <c r="B65" s="19">
        <f>IF(IS!B51=0,"",B64/IS!B51)</f>
        <v>-0.1600869197450743</v>
      </c>
      <c r="C65" s="19">
        <f>IF(IS!C51=0,"",C64/IS!C51)</f>
        <v>3.7021027740344277E-2</v>
      </c>
      <c r="D65" s="19">
        <f>IF(IS!D51=0,"",D64/IS!D51)</f>
        <v>-0.16513161667718071</v>
      </c>
      <c r="E65" s="19">
        <f>IF(IS!E51=0,"",E64/IS!E51)</f>
        <v>-0.43805909460558418</v>
      </c>
      <c r="F65" s="19">
        <f>IF(IS!F51=0,"",F64/IS!F51)</f>
        <v>-0.1709807373950987</v>
      </c>
      <c r="G65" s="19">
        <f>IF(IS!G51=0,"",G64/IS!G51)</f>
        <v>-0.12431691541397165</v>
      </c>
      <c r="H65" s="19">
        <f>IF(IS!H51=0,"",H64/IS!H51)</f>
        <v>-0.44560629236774574</v>
      </c>
      <c r="I65" s="19">
        <f>IF(IS!I51=0,"",I64/IS!I51)</f>
        <v>-0.36797198658512525</v>
      </c>
      <c r="J65" s="19">
        <f>IF(IS!J51=0,"",J64/IS!J51)</f>
        <v>-0.17281905086783136</v>
      </c>
      <c r="K65" s="19">
        <f>IF(IS!K51=0,"",K64/IS!K51)</f>
        <v>-0.19546034830224734</v>
      </c>
      <c r="L65" s="19">
        <f>IF(IS!L51=0,"",L64/IS!L51)</f>
        <v>-8.8883493635011468E-2</v>
      </c>
      <c r="M65" s="19">
        <f>IF(IS!M51=0,"",M64/IS!M51)</f>
        <v>-3.8727993063490306E-2</v>
      </c>
      <c r="N65" s="19">
        <f>IF(IS!N51=0,"",N64/IS!N51)</f>
        <v>1.3045291414448624E-2</v>
      </c>
      <c r="O65" s="19">
        <f>IF(IS!O51=0,"",O64/IS!O51)</f>
        <v>7.1447335780899152E-2</v>
      </c>
      <c r="P65" s="19">
        <f>IF(IS!P51=0,"",P64/IS!P51)</f>
        <v>0.12472392651734941</v>
      </c>
    </row>
    <row r="66" spans="1:16" ht="15" customHeight="1" x14ac:dyDescent="0.2">
      <c r="A66" s="5" t="s">
        <v>581</v>
      </c>
      <c r="B66" s="47">
        <f t="shared" ref="B66:P66" si="12">IF(B53=0,"",B63/B53)</f>
        <v>1.3643938387996282</v>
      </c>
      <c r="C66" s="47">
        <f t="shared" si="12"/>
        <v>0.94372294372294374</v>
      </c>
      <c r="D66" s="47">
        <f t="shared" si="12"/>
        <v>1.3434071176414464</v>
      </c>
      <c r="E66" s="47">
        <f t="shared" si="12"/>
        <v>2.9283124512368626</v>
      </c>
      <c r="F66" s="47">
        <f t="shared" si="12"/>
        <v>1.3317305014574012</v>
      </c>
      <c r="G66" s="47">
        <f t="shared" si="12"/>
        <v>1.2166656257806645</v>
      </c>
      <c r="H66" s="47">
        <f t="shared" si="12"/>
        <v>2.6972079844640411</v>
      </c>
      <c r="I66" s="47">
        <f t="shared" si="12"/>
        <v>2.0826642159233821</v>
      </c>
      <c r="J66" s="47">
        <f t="shared" si="12"/>
        <v>1.3212646454885857</v>
      </c>
      <c r="K66" s="47">
        <f t="shared" si="12"/>
        <v>1.3670023518060666</v>
      </c>
      <c r="L66" s="47">
        <f t="shared" si="12"/>
        <v>1.1408353176293067</v>
      </c>
      <c r="M66" s="47">
        <f t="shared" si="12"/>
        <v>1.0568465938262153</v>
      </c>
      <c r="N66" s="47">
        <f t="shared" si="12"/>
        <v>0.98220397625189426</v>
      </c>
      <c r="O66" s="47">
        <f t="shared" si="12"/>
        <v>0.90972572330361812</v>
      </c>
      <c r="P66" s="47">
        <f t="shared" si="12"/>
        <v>0.85234948057933602</v>
      </c>
    </row>
    <row r="68" spans="1:16" ht="15" customHeight="1" x14ac:dyDescent="0.2">
      <c r="A68" s="7" t="s">
        <v>582</v>
      </c>
    </row>
    <row r="69" spans="1:16" ht="15" customHeight="1" x14ac:dyDescent="0.2">
      <c r="A69" s="5" t="s">
        <v>583</v>
      </c>
      <c r="B69" s="22">
        <f>B53</f>
        <v>30124</v>
      </c>
      <c r="C69" s="22">
        <f t="shared" ref="C69:P69" si="13">B69+C53</f>
        <v>81868</v>
      </c>
      <c r="D69" s="22">
        <f t="shared" si="13"/>
        <v>123792</v>
      </c>
      <c r="E69" s="22">
        <f t="shared" si="13"/>
        <v>145581</v>
      </c>
      <c r="F69" s="22">
        <f t="shared" si="13"/>
        <v>199444</v>
      </c>
      <c r="G69" s="22">
        <f t="shared" si="13"/>
        <v>263492</v>
      </c>
      <c r="H69" s="22">
        <f t="shared" si="13"/>
        <v>294903</v>
      </c>
      <c r="I69" s="22">
        <f t="shared" si="13"/>
        <v>336251</v>
      </c>
      <c r="J69" s="22">
        <f t="shared" si="13"/>
        <v>402483</v>
      </c>
      <c r="K69" s="22">
        <f t="shared" si="13"/>
        <v>468815</v>
      </c>
      <c r="L69" s="22">
        <f t="shared" si="13"/>
        <v>548063.08881552017</v>
      </c>
      <c r="M69" s="22">
        <f t="shared" si="13"/>
        <v>634633.13137893239</v>
      </c>
      <c r="N69" s="22">
        <f t="shared" si="13"/>
        <v>728897.10070652294</v>
      </c>
      <c r="O69" s="22">
        <f t="shared" si="13"/>
        <v>831889.40255251457</v>
      </c>
      <c r="P69" s="22">
        <f t="shared" si="13"/>
        <v>943130.5261814699</v>
      </c>
    </row>
    <row r="70" spans="1:16" ht="15" customHeight="1" x14ac:dyDescent="0.2">
      <c r="A70" s="5" t="s">
        <v>584</v>
      </c>
      <c r="B70" s="22">
        <f>B63</f>
        <v>41101</v>
      </c>
      <c r="C70" s="22">
        <f t="shared" ref="C70:P70" si="14">B70+C63</f>
        <v>89933</v>
      </c>
      <c r="D70" s="22">
        <f t="shared" si="14"/>
        <v>146254</v>
      </c>
      <c r="E70" s="22">
        <f t="shared" si="14"/>
        <v>210059</v>
      </c>
      <c r="F70" s="22">
        <f t="shared" si="14"/>
        <v>281790</v>
      </c>
      <c r="G70" s="22">
        <f t="shared" si="14"/>
        <v>359715</v>
      </c>
      <c r="H70" s="22">
        <f t="shared" si="14"/>
        <v>444437</v>
      </c>
      <c r="I70" s="22">
        <f t="shared" si="14"/>
        <v>530551</v>
      </c>
      <c r="J70" s="22">
        <f t="shared" si="14"/>
        <v>618061</v>
      </c>
      <c r="K70" s="22">
        <f t="shared" si="14"/>
        <v>708737</v>
      </c>
      <c r="L70" s="22">
        <f t="shared" si="14"/>
        <v>799146.0185753695</v>
      </c>
      <c r="M70" s="22">
        <f t="shared" si="14"/>
        <v>890637.27318590228</v>
      </c>
      <c r="N70" s="22">
        <f t="shared" si="14"/>
        <v>983223.71867674834</v>
      </c>
      <c r="O70" s="22">
        <f t="shared" si="14"/>
        <v>1076918.4649682976</v>
      </c>
      <c r="P70" s="22">
        <f t="shared" si="14"/>
        <v>1171734.7789124993</v>
      </c>
    </row>
    <row r="71" spans="1:16" ht="15" customHeight="1" x14ac:dyDescent="0.2">
      <c r="A71" s="7" t="s">
        <v>585</v>
      </c>
      <c r="B71" s="13">
        <f t="shared" ref="B71:P71" si="15">B69-B70</f>
        <v>-10977</v>
      </c>
      <c r="C71" s="13">
        <f t="shared" si="15"/>
        <v>-8065</v>
      </c>
      <c r="D71" s="13">
        <f t="shared" si="15"/>
        <v>-22462</v>
      </c>
      <c r="E71" s="13">
        <f t="shared" si="15"/>
        <v>-64478</v>
      </c>
      <c r="F71" s="13">
        <f t="shared" si="15"/>
        <v>-82346</v>
      </c>
      <c r="G71" s="13">
        <f t="shared" si="15"/>
        <v>-96223</v>
      </c>
      <c r="H71" s="13">
        <f t="shared" si="15"/>
        <v>-149534</v>
      </c>
      <c r="I71" s="13">
        <f t="shared" si="15"/>
        <v>-194300</v>
      </c>
      <c r="J71" s="13">
        <f t="shared" si="15"/>
        <v>-215578</v>
      </c>
      <c r="K71" s="13">
        <f t="shared" si="15"/>
        <v>-239922</v>
      </c>
      <c r="L71" s="13">
        <f t="shared" si="15"/>
        <v>-251082.92975984933</v>
      </c>
      <c r="M71" s="13">
        <f t="shared" si="15"/>
        <v>-256004.14180696988</v>
      </c>
      <c r="N71" s="13">
        <f t="shared" si="15"/>
        <v>-254326.6179702254</v>
      </c>
      <c r="O71" s="13">
        <f t="shared" si="15"/>
        <v>-245029.06241578306</v>
      </c>
      <c r="P71" s="13">
        <f t="shared" si="15"/>
        <v>-228604.25273102941</v>
      </c>
    </row>
    <row r="73" spans="1:16" ht="15" customHeight="1" x14ac:dyDescent="0.2">
      <c r="A73" s="7" t="s">
        <v>586</v>
      </c>
    </row>
    <row r="74" spans="1:16" ht="15" customHeight="1" x14ac:dyDescent="0.2">
      <c r="A74" s="5" t="s">
        <v>587</v>
      </c>
      <c r="C74" s="47">
        <f t="shared" ref="C74:P74" si="16">IF(OR(B53=0,B53=""),"",(C53-B53)/B53)</f>
        <v>0.71770017261983798</v>
      </c>
      <c r="D74" s="47">
        <f t="shared" si="16"/>
        <v>-0.18978045763760049</v>
      </c>
      <c r="E74" s="47">
        <f t="shared" si="16"/>
        <v>-0.48027382883312664</v>
      </c>
      <c r="F74" s="47">
        <f t="shared" si="16"/>
        <v>1.4720271696727707</v>
      </c>
      <c r="G74" s="47">
        <f t="shared" si="16"/>
        <v>0.18909084157956296</v>
      </c>
      <c r="H74" s="47">
        <f t="shared" si="16"/>
        <v>-0.50957094678990755</v>
      </c>
      <c r="I74" s="47">
        <f t="shared" si="16"/>
        <v>0.3163541434529305</v>
      </c>
      <c r="J74" s="47">
        <f t="shared" si="16"/>
        <v>0.6018187094901809</v>
      </c>
      <c r="K74" s="47">
        <f t="shared" si="16"/>
        <v>1.5098441840802029E-3</v>
      </c>
      <c r="L74" s="47">
        <f t="shared" si="16"/>
        <v>0.19471882071278068</v>
      </c>
      <c r="M74" s="47">
        <f t="shared" si="16"/>
        <v>9.2392811704730474E-2</v>
      </c>
      <c r="N74" s="47">
        <f t="shared" si="16"/>
        <v>8.8875164391220993E-2</v>
      </c>
      <c r="O74" s="47">
        <f t="shared" si="16"/>
        <v>9.2594578614315762E-2</v>
      </c>
      <c r="P74" s="47">
        <f t="shared" si="16"/>
        <v>8.0091634375727846E-2</v>
      </c>
    </row>
    <row r="75" spans="1:16" ht="15" customHeight="1" x14ac:dyDescent="0.2">
      <c r="A75" s="5" t="s">
        <v>588</v>
      </c>
      <c r="C75" s="47">
        <f t="shared" ref="C75:P75" si="17">IF(OR(B54=0,B54="",B54="-"),"",(C54-B54)/B54)</f>
        <v>0.49738085301392959</v>
      </c>
      <c r="D75" s="47">
        <f t="shared" si="17"/>
        <v>-0.26902278186452233</v>
      </c>
      <c r="E75" s="47">
        <f t="shared" si="17"/>
        <v>-0.52757338622949868</v>
      </c>
      <c r="F75" s="47">
        <f t="shared" si="17"/>
        <v>1.2688536592441757</v>
      </c>
      <c r="G75" s="47">
        <f t="shared" si="17"/>
        <v>0.11321341101167356</v>
      </c>
      <c r="H75" s="47">
        <f t="shared" si="17"/>
        <v>-0.54241051268729756</v>
      </c>
      <c r="I75" s="47">
        <f t="shared" si="17"/>
        <v>0.29450796228939191</v>
      </c>
      <c r="J75" s="47">
        <f t="shared" si="17"/>
        <v>0.5827331767560685</v>
      </c>
      <c r="K75" s="47">
        <f t="shared" si="17"/>
        <v>-9.9408532885054135E-3</v>
      </c>
      <c r="L75" s="47">
        <f t="shared" si="17"/>
        <v>0.18500373150576224</v>
      </c>
      <c r="M75" s="47">
        <f t="shared" si="17"/>
        <v>7.9471064479678111E-2</v>
      </c>
      <c r="N75" s="47">
        <f t="shared" si="17"/>
        <v>7.5995026877368657E-2</v>
      </c>
      <c r="O75" s="47">
        <f t="shared" si="17"/>
        <v>7.9670444719398867E-2</v>
      </c>
      <c r="P75" s="47">
        <f t="shared" si="17"/>
        <v>6.7315395892872359E-2</v>
      </c>
    </row>
    <row r="77" spans="1:16" ht="15" customHeight="1" x14ac:dyDescent="0.2">
      <c r="A77" s="7" t="s">
        <v>589</v>
      </c>
    </row>
    <row r="78" spans="1:16" ht="15" customHeight="1" x14ac:dyDescent="0.2">
      <c r="A78" s="5" t="s">
        <v>590</v>
      </c>
      <c r="B78" s="45">
        <f>IF(IS!B26=0,"",B20/IS!B26)</f>
        <v>0.683023245821338</v>
      </c>
      <c r="C78" s="45">
        <f>IF(IS!C26=0,"",C20/IS!C26)</f>
        <v>0.80834511333170855</v>
      </c>
      <c r="D78" s="45">
        <f>IF(IS!D26=0,"",D20/IS!D26)</f>
        <v>0.73602191547124007</v>
      </c>
      <c r="E78" s="45">
        <f>IF(IS!E26=0,"",E20/IS!E26)</f>
        <v>0.67083791324934472</v>
      </c>
      <c r="F78" s="45">
        <f>IF(IS!F26=0,"",F20/IS!F26)</f>
        <v>0.82005351321563968</v>
      </c>
      <c r="G78" s="45">
        <f>IF(IS!G26=0,"",G20/IS!G26)</f>
        <v>0.8463262375553513</v>
      </c>
      <c r="H78" s="45">
        <f>IF(IS!H26=0,"",H20/IS!H26)</f>
        <v>0.64673615769647552</v>
      </c>
      <c r="I78" s="45">
        <f>IF(IS!I26=0,"",I20/IS!I26)</f>
        <v>0.67759345556466122</v>
      </c>
      <c r="J78" s="45">
        <f>IF(IS!J26=0,"",J20/IS!J26)</f>
        <v>0.7359002991576713</v>
      </c>
      <c r="K78" s="45">
        <f>IF(IS!K26=0,"",K20/IS!K26)</f>
        <v>0.61892745817341333</v>
      </c>
      <c r="L78" s="45">
        <f>IF(IS!L26=0,"",L20/IS!L26)</f>
        <v>0.67652435049337967</v>
      </c>
      <c r="M78" s="45">
        <f>IF(IS!M26=0,"",M20/IS!M26)</f>
        <v>0.6858747823837068</v>
      </c>
      <c r="N78" s="45">
        <f>IF(IS!N26=0,"",N20/IS!N26)</f>
        <v>0.69551996934530791</v>
      </c>
      <c r="O78" s="45">
        <f>IF(IS!O26=0,"",O20/IS!O26)</f>
        <v>0.70907996624523029</v>
      </c>
      <c r="P78" s="45">
        <f>IF(IS!P26=0,"",P20/IS!P26)</f>
        <v>0.71952875332531974</v>
      </c>
    </row>
    <row r="79" spans="1:16" ht="15" customHeight="1" x14ac:dyDescent="0.2">
      <c r="A79" s="5" t="s">
        <v>591</v>
      </c>
      <c r="B79" s="45">
        <f>IF(IS!B50=0,"",B53/IS!B50)</f>
        <v>0.51156471826919814</v>
      </c>
      <c r="C79" s="45">
        <f>IF(IS!C50=0,"",C53/IS!C50)</f>
        <v>0.74054355759735524</v>
      </c>
      <c r="D79" s="45">
        <f>IF(IS!D50=0,"",D53/IS!D50)</f>
        <v>0.51246821826716216</v>
      </c>
      <c r="E79" s="45">
        <f>IF(IS!E50=0,"",E53/IS!E50)</f>
        <v>0.23208427421072814</v>
      </c>
      <c r="F79" s="45">
        <f>IF(IS!F50=0,"",F53/IS!F50)</f>
        <v>0.51455893310915379</v>
      </c>
      <c r="G79" s="45">
        <f>IF(IS!G50=0,"",G53/IS!G50)</f>
        <v>0.53715771375854404</v>
      </c>
      <c r="H79" s="45">
        <f>IF(IS!H50=0,"",H53/IS!H50)</f>
        <v>0.23688001025617822</v>
      </c>
      <c r="I79" s="45">
        <f>IF(IS!I50=0,"",I53/IS!I50)</f>
        <v>0.29586061321598511</v>
      </c>
      <c r="J79" s="45">
        <f>IF(IS!J50=0,"",J53/IS!J50)</f>
        <v>0.4570434878617663</v>
      </c>
      <c r="K79" s="45">
        <f>IF(IS!K50=0,"",K53/IS!K50)</f>
        <v>0.43417814316384773</v>
      </c>
      <c r="L79" s="45">
        <f>IF(IS!L50=0,"",L53/IS!L50)</f>
        <v>0.51216159066532296</v>
      </c>
      <c r="M79" s="45">
        <f>IF(IS!M50=0,"",M53/IS!M50)</f>
        <v>0.53420312194912556</v>
      </c>
      <c r="N79" s="45">
        <f>IF(IS!N50=0,"",N53/IS!N50)</f>
        <v>0.55531557781339647</v>
      </c>
      <c r="O79" s="45">
        <f>IF(IS!O50=0,"",O53/IS!O50)</f>
        <v>0.57706268142827932</v>
      </c>
      <c r="P79" s="45">
        <f>IF(IS!P50=0,"",P53/IS!P50)</f>
        <v>0.59574642979907177</v>
      </c>
    </row>
    <row r="80" spans="1:16" ht="15" customHeight="1" x14ac:dyDescent="0.2">
      <c r="A80" s="5" t="s">
        <v>592</v>
      </c>
      <c r="B80" s="47">
        <f t="shared" ref="B80:P80" si="18">IF(B49=0,"",ABS(B50)/B49)</f>
        <v>0.5262330145948666</v>
      </c>
      <c r="C80" s="47">
        <f t="shared" si="18"/>
        <v>0.3759467412803319</v>
      </c>
      <c r="D80" s="47">
        <f t="shared" si="18"/>
        <v>0.53281775836323519</v>
      </c>
      <c r="E80" s="47">
        <f t="shared" si="18"/>
        <v>0.77114318124527348</v>
      </c>
      <c r="F80" s="47">
        <f t="shared" si="18"/>
        <v>0.56391178327962821</v>
      </c>
      <c r="G80" s="47">
        <f t="shared" si="18"/>
        <v>0.54530739741587386</v>
      </c>
      <c r="H80" s="47">
        <f t="shared" si="18"/>
        <v>0.74937565327014066</v>
      </c>
      <c r="I80" s="47">
        <f t="shared" si="18"/>
        <v>0.70409492321124423</v>
      </c>
      <c r="J80" s="47">
        <f t="shared" si="18"/>
        <v>0.58641188959660295</v>
      </c>
      <c r="K80" s="47">
        <f t="shared" si="18"/>
        <v>0.54548444566260101</v>
      </c>
      <c r="L80" s="47">
        <f t="shared" si="18"/>
        <v>0.51038687909330582</v>
      </c>
      <c r="M80" s="47">
        <f t="shared" si="18"/>
        <v>0.48829787839837385</v>
      </c>
      <c r="N80" s="47">
        <f t="shared" si="18"/>
        <v>0.46705723168557733</v>
      </c>
      <c r="O80" s="47">
        <f t="shared" si="18"/>
        <v>0.44509295753276434</v>
      </c>
      <c r="P80" s="47">
        <f t="shared" si="18"/>
        <v>0.42615325295454781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9"/>
  <sheetViews>
    <sheetView showGridLines="0" topLeftCell="A3" zoomScaleNormal="100" workbookViewId="0">
      <selection activeCell="K65" sqref="K65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t="s">
        <v>233</v>
      </c>
    </row>
    <row r="2" spans="1:16" ht="15" customHeight="1" x14ac:dyDescent="0.2">
      <c r="A2" t="s">
        <v>593</v>
      </c>
    </row>
    <row r="3" spans="1:16" ht="15" customHeight="1" x14ac:dyDescent="0.2">
      <c r="A3" t="s">
        <v>594</v>
      </c>
    </row>
    <row r="5" spans="1:16" ht="1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7" spans="1:16" ht="15" customHeight="1" x14ac:dyDescent="0.2">
      <c r="A7" s="2" t="s">
        <v>595</v>
      </c>
    </row>
    <row r="8" spans="1:16" ht="15" customHeight="1" x14ac:dyDescent="0.2">
      <c r="A8" t="s">
        <v>596</v>
      </c>
      <c r="B8" s="39">
        <v>1942809</v>
      </c>
      <c r="C8" s="39">
        <v>2279763</v>
      </c>
      <c r="D8" s="39">
        <v>2799693</v>
      </c>
      <c r="E8" s="39">
        <v>3320604</v>
      </c>
      <c r="F8" s="39">
        <v>3741918</v>
      </c>
      <c r="G8" s="39">
        <v>4540877</v>
      </c>
      <c r="H8" s="39">
        <v>4812801</v>
      </c>
      <c r="I8" s="39">
        <v>5027806</v>
      </c>
      <c r="J8" s="39">
        <v>5384720</v>
      </c>
      <c r="K8" s="39">
        <v>5449016</v>
      </c>
      <c r="L8" s="11">
        <f>(Assumptions!B114+Assumptions!B112+Assumptions!B113)/Assumptions!B89</f>
        <v>5245031.1917500012</v>
      </c>
      <c r="M8" s="11">
        <f>(Assumptions!C114+Assumptions!C112+Assumptions!C113)/Assumptions!C89</f>
        <v>5397827.5643697781</v>
      </c>
      <c r="N8" s="11">
        <f>(Assumptions!D114+Assumptions!D112+Assumptions!D113)/Assumptions!D89</f>
        <v>5555075.1157851983</v>
      </c>
      <c r="O8" s="11">
        <f>(Assumptions!E114+Assumptions!E112+Assumptions!E113)/Assumptions!E89</f>
        <v>5716903.51437438</v>
      </c>
      <c r="P8" s="11">
        <f>(Assumptions!F114+Assumptions!F112+Assumptions!F113)/Assumptions!F89</f>
        <v>5883446.2058911305</v>
      </c>
    </row>
    <row r="9" spans="1:16" ht="15" customHeight="1" x14ac:dyDescent="0.2">
      <c r="A9" t="s">
        <v>597</v>
      </c>
      <c r="B9" s="39">
        <v>5737</v>
      </c>
      <c r="C9" s="39">
        <v>5851</v>
      </c>
      <c r="D9" s="39">
        <v>6189</v>
      </c>
      <c r="E9" s="39">
        <v>7408</v>
      </c>
      <c r="F9" s="39">
        <v>8349</v>
      </c>
      <c r="G9" s="39">
        <v>12306</v>
      </c>
      <c r="H9" s="39">
        <v>12197</v>
      </c>
      <c r="I9" s="39">
        <v>14329</v>
      </c>
      <c r="J9" s="39">
        <v>24255</v>
      </c>
      <c r="K9" s="39">
        <v>18257</v>
      </c>
      <c r="L9" s="9">
        <f>K9</f>
        <v>18257</v>
      </c>
      <c r="M9" s="9">
        <f>K9</f>
        <v>18257</v>
      </c>
      <c r="N9" s="9">
        <f>K9</f>
        <v>18257</v>
      </c>
      <c r="O9" s="9">
        <f>K9</f>
        <v>18257</v>
      </c>
      <c r="P9" s="9">
        <f>K9</f>
        <v>18257</v>
      </c>
    </row>
    <row r="12" spans="1:16" ht="15" customHeight="1" x14ac:dyDescent="0.2">
      <c r="A12" t="s">
        <v>598</v>
      </c>
      <c r="B12" s="39">
        <v>14435</v>
      </c>
      <c r="C12" s="39">
        <v>13596</v>
      </c>
      <c r="D12" s="39">
        <v>14735</v>
      </c>
      <c r="E12" s="39">
        <v>25124</v>
      </c>
      <c r="F12" s="39">
        <v>23737</v>
      </c>
      <c r="G12" s="39">
        <v>24889</v>
      </c>
      <c r="H12" s="39">
        <v>25382</v>
      </c>
      <c r="I12" s="39">
        <v>19742</v>
      </c>
      <c r="J12" s="39">
        <v>18164</v>
      </c>
      <c r="K12" s="39">
        <v>30154</v>
      </c>
      <c r="L12" s="9">
        <f>K12</f>
        <v>30154</v>
      </c>
      <c r="M12" s="9">
        <f>K12</f>
        <v>30154</v>
      </c>
      <c r="N12" s="9">
        <f>K12</f>
        <v>30154</v>
      </c>
      <c r="O12" s="9">
        <f>K12</f>
        <v>30154</v>
      </c>
      <c r="P12" s="9">
        <f>K12</f>
        <v>30154</v>
      </c>
    </row>
    <row r="14" spans="1:16" ht="15" customHeight="1" x14ac:dyDescent="0.2">
      <c r="A14" t="s">
        <v>599</v>
      </c>
      <c r="B14" s="39">
        <v>24652</v>
      </c>
      <c r="C14" s="39">
        <v>12000</v>
      </c>
      <c r="D14" s="39">
        <v>3789</v>
      </c>
      <c r="E14" s="39">
        <v>12801</v>
      </c>
      <c r="F14" s="39">
        <v>2556</v>
      </c>
      <c r="G14" s="39">
        <v>435</v>
      </c>
      <c r="H14" s="39">
        <v>9150</v>
      </c>
      <c r="I14" s="39">
        <v>14087</v>
      </c>
      <c r="J14" s="39">
        <v>13211</v>
      </c>
      <c r="K14" s="39">
        <v>9876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</row>
    <row r="15" spans="1:16" ht="15" customHeight="1" x14ac:dyDescent="0.2">
      <c r="A15" t="s">
        <v>600</v>
      </c>
      <c r="B15" s="39">
        <v>0</v>
      </c>
      <c r="C15" s="39">
        <v>0</v>
      </c>
      <c r="D15" s="39">
        <v>0</v>
      </c>
      <c r="E15" s="39">
        <v>14163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</row>
    <row r="17" spans="1:16" ht="15" customHeight="1" x14ac:dyDescent="0.2">
      <c r="A17" s="2" t="s">
        <v>601</v>
      </c>
      <c r="B17" s="9">
        <f t="shared" ref="B17:P17" si="0">SUM(B8:B15)</f>
        <v>1987633</v>
      </c>
      <c r="C17" s="9">
        <f t="shared" si="0"/>
        <v>2311210</v>
      </c>
      <c r="D17" s="9">
        <f t="shared" si="0"/>
        <v>2824406</v>
      </c>
      <c r="E17" s="9">
        <f t="shared" si="0"/>
        <v>3380100</v>
      </c>
      <c r="F17" s="9">
        <f t="shared" si="0"/>
        <v>3776560</v>
      </c>
      <c r="G17" s="9">
        <f t="shared" si="0"/>
        <v>4578507</v>
      </c>
      <c r="H17" s="9">
        <f t="shared" si="0"/>
        <v>4859530</v>
      </c>
      <c r="I17" s="9">
        <f t="shared" si="0"/>
        <v>5075964</v>
      </c>
      <c r="J17" s="9">
        <f t="shared" si="0"/>
        <v>5440350</v>
      </c>
      <c r="K17" s="9">
        <f t="shared" si="0"/>
        <v>5507303</v>
      </c>
      <c r="L17" s="9">
        <f t="shared" si="0"/>
        <v>5293442.1917500012</v>
      </c>
      <c r="M17" s="9">
        <f t="shared" si="0"/>
        <v>5446238.5643697781</v>
      </c>
      <c r="N17" s="9">
        <f t="shared" si="0"/>
        <v>5603486.1157851983</v>
      </c>
      <c r="O17" s="9">
        <f t="shared" si="0"/>
        <v>5765314.51437438</v>
      </c>
      <c r="P17" s="9">
        <f t="shared" si="0"/>
        <v>5931857.2058911305</v>
      </c>
    </row>
    <row r="19" spans="1:16" ht="15" customHeight="1" x14ac:dyDescent="0.2">
      <c r="A19" s="2" t="s">
        <v>602</v>
      </c>
    </row>
    <row r="20" spans="1:16" ht="15" customHeight="1" x14ac:dyDescent="0.2">
      <c r="A20" t="s">
        <v>63</v>
      </c>
      <c r="B20" s="39">
        <v>997514</v>
      </c>
      <c r="C20" s="39">
        <v>1088507</v>
      </c>
      <c r="D20" s="39">
        <v>1292476</v>
      </c>
      <c r="E20" s="39">
        <v>1438270</v>
      </c>
      <c r="F20" s="39">
        <v>1631689</v>
      </c>
      <c r="G20" s="39">
        <v>1915334</v>
      </c>
      <c r="H20" s="39">
        <v>1979442</v>
      </c>
      <c r="I20" s="39">
        <v>2104443</v>
      </c>
      <c r="J20" s="39">
        <v>2139143</v>
      </c>
      <c r="K20" s="39">
        <v>2216592</v>
      </c>
      <c r="L20" s="9">
        <f>Assumptions!B49</f>
        <v>2149592</v>
      </c>
      <c r="M20" s="9">
        <f>Assumptions!C49</f>
        <v>2082592</v>
      </c>
      <c r="N20" s="9">
        <f>Assumptions!D49</f>
        <v>2015592</v>
      </c>
      <c r="O20" s="9">
        <f>Assumptions!E49</f>
        <v>1948592</v>
      </c>
      <c r="P20" s="9">
        <f>Assumptions!F49</f>
        <v>1881592</v>
      </c>
    </row>
    <row r="21" spans="1:16" ht="15" customHeight="1" x14ac:dyDescent="0.2">
      <c r="A21" t="s">
        <v>603</v>
      </c>
      <c r="B21" s="39">
        <v>0</v>
      </c>
      <c r="C21" s="39">
        <v>0</v>
      </c>
      <c r="D21" s="39">
        <v>53350</v>
      </c>
      <c r="E21" s="39">
        <v>0</v>
      </c>
      <c r="F21" s="39">
        <v>7029</v>
      </c>
      <c r="G21" s="39">
        <v>61730</v>
      </c>
      <c r="H21" s="39">
        <v>121014</v>
      </c>
      <c r="I21" s="39">
        <v>40877</v>
      </c>
      <c r="J21" s="39">
        <v>54738</v>
      </c>
      <c r="K21" s="39">
        <v>74754</v>
      </c>
      <c r="L21" s="9">
        <f>Assumptions!B86</f>
        <v>128111.82878447983</v>
      </c>
      <c r="M21" s="9">
        <f>Assumptions!C86</f>
        <v>174933.03574110696</v>
      </c>
      <c r="N21" s="9">
        <f>Assumptions!D86</f>
        <v>214855.04862485483</v>
      </c>
      <c r="O21" s="9">
        <f>Assumptions!E86</f>
        <v>246852.97498416004</v>
      </c>
      <c r="P21" s="9">
        <f>Assumptions!F86</f>
        <v>271415.95273556979</v>
      </c>
    </row>
    <row r="22" spans="1:16" ht="15" customHeight="1" x14ac:dyDescent="0.2">
      <c r="A22" t="s">
        <v>65</v>
      </c>
      <c r="B22" s="9">
        <f t="shared" ref="B22:P22" si="1">B20+B21</f>
        <v>997514</v>
      </c>
      <c r="C22" s="9">
        <f t="shared" si="1"/>
        <v>1088507</v>
      </c>
      <c r="D22" s="9">
        <f t="shared" si="1"/>
        <v>1345826</v>
      </c>
      <c r="E22" s="9">
        <f t="shared" si="1"/>
        <v>1438270</v>
      </c>
      <c r="F22" s="9">
        <f t="shared" si="1"/>
        <v>1638718</v>
      </c>
      <c r="G22" s="9">
        <f t="shared" si="1"/>
        <v>1977064</v>
      </c>
      <c r="H22" s="9">
        <f t="shared" si="1"/>
        <v>2100456</v>
      </c>
      <c r="I22" s="9">
        <f t="shared" si="1"/>
        <v>2145320</v>
      </c>
      <c r="J22" s="9">
        <f t="shared" si="1"/>
        <v>2193881</v>
      </c>
      <c r="K22" s="9">
        <f t="shared" si="1"/>
        <v>2291346</v>
      </c>
      <c r="L22" s="9">
        <f t="shared" si="1"/>
        <v>2277703.8287844798</v>
      </c>
      <c r="M22" s="9">
        <f t="shared" si="1"/>
        <v>2257525.0357411071</v>
      </c>
      <c r="N22" s="9">
        <f t="shared" si="1"/>
        <v>2230447.048624855</v>
      </c>
      <c r="O22" s="9">
        <f t="shared" si="1"/>
        <v>2195444.9749841602</v>
      </c>
      <c r="P22" s="9">
        <f t="shared" si="1"/>
        <v>2153007.9527355698</v>
      </c>
    </row>
    <row r="23" spans="1:16" ht="15" customHeight="1" x14ac:dyDescent="0.2">
      <c r="A23" t="s">
        <v>604</v>
      </c>
      <c r="B23" s="9">
        <f t="shared" ref="B23:P23" si="2">B21</f>
        <v>0</v>
      </c>
      <c r="C23" s="9">
        <f t="shared" si="2"/>
        <v>0</v>
      </c>
      <c r="D23" s="9">
        <f t="shared" si="2"/>
        <v>53350</v>
      </c>
      <c r="E23" s="9">
        <f t="shared" si="2"/>
        <v>0</v>
      </c>
      <c r="F23" s="9">
        <f t="shared" si="2"/>
        <v>7029</v>
      </c>
      <c r="G23" s="9">
        <f t="shared" si="2"/>
        <v>61730</v>
      </c>
      <c r="H23" s="9">
        <f t="shared" si="2"/>
        <v>121014</v>
      </c>
      <c r="I23" s="9">
        <f t="shared" si="2"/>
        <v>40877</v>
      </c>
      <c r="J23" s="9">
        <f t="shared" si="2"/>
        <v>54738</v>
      </c>
      <c r="K23" s="9">
        <f t="shared" si="2"/>
        <v>74754</v>
      </c>
      <c r="L23" s="9">
        <f t="shared" si="2"/>
        <v>128111.82878447983</v>
      </c>
      <c r="M23" s="9">
        <f t="shared" si="2"/>
        <v>174933.03574110696</v>
      </c>
      <c r="N23" s="9">
        <f t="shared" si="2"/>
        <v>214855.04862485483</v>
      </c>
      <c r="O23" s="9">
        <f t="shared" si="2"/>
        <v>246852.97498416004</v>
      </c>
      <c r="P23" s="9">
        <f t="shared" si="2"/>
        <v>271415.95273556979</v>
      </c>
    </row>
    <row r="25" spans="1:16" ht="15" customHeight="1" x14ac:dyDescent="0.2">
      <c r="A25" t="s">
        <v>605</v>
      </c>
      <c r="B25" s="39">
        <v>28198</v>
      </c>
      <c r="C25" s="39">
        <v>39130</v>
      </c>
      <c r="D25" s="39">
        <v>43658</v>
      </c>
      <c r="E25" s="39">
        <v>46614</v>
      </c>
      <c r="F25" s="39">
        <v>58906</v>
      </c>
      <c r="G25" s="39">
        <v>74913</v>
      </c>
      <c r="H25" s="39">
        <v>67940</v>
      </c>
      <c r="I25" s="39">
        <v>63783</v>
      </c>
      <c r="J25" s="39">
        <v>72445</v>
      </c>
      <c r="K25" s="39">
        <v>63783</v>
      </c>
      <c r="L25" s="9">
        <f>K25</f>
        <v>63783</v>
      </c>
      <c r="M25" s="9">
        <f>K25</f>
        <v>63783</v>
      </c>
      <c r="N25" s="9">
        <f>K25</f>
        <v>63783</v>
      </c>
      <c r="O25" s="9">
        <f>K25</f>
        <v>63783</v>
      </c>
      <c r="P25" s="9">
        <f>K25</f>
        <v>63783</v>
      </c>
    </row>
    <row r="26" spans="1:16" ht="15" customHeight="1" x14ac:dyDescent="0.2">
      <c r="A26" t="s">
        <v>606</v>
      </c>
      <c r="B26" s="39">
        <v>46158</v>
      </c>
      <c r="C26" s="39">
        <v>54937</v>
      </c>
      <c r="D26" s="39">
        <v>66207</v>
      </c>
      <c r="E26" s="39">
        <v>78668</v>
      </c>
      <c r="F26" s="39">
        <v>70177</v>
      </c>
      <c r="G26" s="39">
        <v>94461</v>
      </c>
      <c r="H26" s="39">
        <v>63187</v>
      </c>
      <c r="I26" s="39">
        <v>55153</v>
      </c>
      <c r="J26" s="39">
        <v>66656</v>
      </c>
      <c r="K26" s="39">
        <v>55153</v>
      </c>
      <c r="L26" s="9">
        <f>K26</f>
        <v>55153</v>
      </c>
      <c r="M26" s="9">
        <f>K26</f>
        <v>55153</v>
      </c>
      <c r="N26" s="9">
        <f>K26</f>
        <v>55153</v>
      </c>
      <c r="O26" s="9">
        <f>K26</f>
        <v>55153</v>
      </c>
      <c r="P26" s="9">
        <f>K26</f>
        <v>55153</v>
      </c>
    </row>
    <row r="27" spans="1:16" ht="15" customHeight="1" x14ac:dyDescent="0.2">
      <c r="A27" t="s">
        <v>607</v>
      </c>
      <c r="B27" s="39">
        <v>18509</v>
      </c>
      <c r="C27" s="39">
        <v>41046</v>
      </c>
      <c r="D27" s="39">
        <v>60502</v>
      </c>
      <c r="E27" s="39">
        <v>24851</v>
      </c>
      <c r="F27" s="39">
        <v>41345</v>
      </c>
      <c r="G27" s="39">
        <v>77596</v>
      </c>
      <c r="H27" s="39">
        <v>94972</v>
      </c>
      <c r="I27" s="39">
        <v>29675</v>
      </c>
      <c r="J27" s="39">
        <v>0</v>
      </c>
      <c r="K27" s="39">
        <v>10340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t="s">
        <v>608</v>
      </c>
      <c r="B28" s="39">
        <v>84547</v>
      </c>
      <c r="C28" s="39">
        <v>103206</v>
      </c>
      <c r="D28" s="39">
        <v>134684</v>
      </c>
      <c r="E28" s="39">
        <v>175048</v>
      </c>
      <c r="F28" s="39">
        <v>184611</v>
      </c>
      <c r="G28" s="39">
        <v>227004</v>
      </c>
      <c r="H28" s="39">
        <v>245817</v>
      </c>
      <c r="I28" s="39">
        <v>278975</v>
      </c>
      <c r="J28" s="39">
        <v>0</v>
      </c>
      <c r="K28" s="39">
        <v>0</v>
      </c>
      <c r="L28" s="9">
        <f>K28+Assumptions!B97</f>
        <v>0</v>
      </c>
      <c r="M28" s="9">
        <f>L28+Assumptions!C97</f>
        <v>0</v>
      </c>
      <c r="N28" s="9">
        <f>M28+Assumptions!D97</f>
        <v>0</v>
      </c>
      <c r="O28" s="9">
        <f>N28+Assumptions!E97</f>
        <v>0</v>
      </c>
      <c r="P28" s="9">
        <f>O28+Assumptions!F97</f>
        <v>0</v>
      </c>
    </row>
    <row r="29" spans="1:16" ht="15" customHeight="1" x14ac:dyDescent="0.2">
      <c r="A29" t="s">
        <v>609</v>
      </c>
      <c r="B29" s="39">
        <v>62257</v>
      </c>
      <c r="C29" s="39">
        <v>16662</v>
      </c>
      <c r="D29" s="39">
        <v>4715</v>
      </c>
      <c r="E29" s="39">
        <v>14395</v>
      </c>
      <c r="F29" s="39">
        <v>14674</v>
      </c>
      <c r="G29" s="39">
        <v>16142</v>
      </c>
      <c r="H29" s="39">
        <v>13989</v>
      </c>
      <c r="I29" s="39">
        <v>20458</v>
      </c>
      <c r="J29" s="39">
        <v>17416</v>
      </c>
      <c r="K29" s="39">
        <v>23034</v>
      </c>
      <c r="L29" s="11">
        <f>K29</f>
        <v>23034</v>
      </c>
      <c r="M29" s="11">
        <f>K29</f>
        <v>23034</v>
      </c>
      <c r="N29" s="11">
        <f>K29</f>
        <v>23034</v>
      </c>
      <c r="O29" s="11">
        <f>K29</f>
        <v>23034</v>
      </c>
      <c r="P29" s="11">
        <f>K29</f>
        <v>23034</v>
      </c>
    </row>
    <row r="31" spans="1:16" ht="15" customHeight="1" x14ac:dyDescent="0.2">
      <c r="A31" s="2" t="s">
        <v>610</v>
      </c>
      <c r="B31" s="9">
        <f t="shared" ref="B31:P31" si="3">B22+B25+B26+B27+B28+B29</f>
        <v>1237183</v>
      </c>
      <c r="C31" s="9">
        <f t="shared" si="3"/>
        <v>1343488</v>
      </c>
      <c r="D31" s="9">
        <f t="shared" si="3"/>
        <v>1655592</v>
      </c>
      <c r="E31" s="9">
        <f t="shared" si="3"/>
        <v>1777846</v>
      </c>
      <c r="F31" s="9">
        <f t="shared" si="3"/>
        <v>2008431</v>
      </c>
      <c r="G31" s="9">
        <f t="shared" si="3"/>
        <v>2467180</v>
      </c>
      <c r="H31" s="9">
        <f t="shared" si="3"/>
        <v>2586361</v>
      </c>
      <c r="I31" s="9">
        <f t="shared" si="3"/>
        <v>2593364</v>
      </c>
      <c r="J31" s="9">
        <f t="shared" si="3"/>
        <v>2350398</v>
      </c>
      <c r="K31" s="9">
        <f t="shared" si="3"/>
        <v>2443656</v>
      </c>
      <c r="L31" s="9">
        <f t="shared" si="3"/>
        <v>2419673.8287844798</v>
      </c>
      <c r="M31" s="9">
        <f t="shared" si="3"/>
        <v>2399495.0357411071</v>
      </c>
      <c r="N31" s="9">
        <f t="shared" si="3"/>
        <v>2372417.048624855</v>
      </c>
      <c r="O31" s="9">
        <f t="shared" si="3"/>
        <v>2337414.9749841602</v>
      </c>
      <c r="P31" s="9">
        <f t="shared" si="3"/>
        <v>2294977.9527355698</v>
      </c>
    </row>
    <row r="33" spans="1:16" ht="15" customHeight="1" x14ac:dyDescent="0.2">
      <c r="A33" s="2" t="s">
        <v>66</v>
      </c>
    </row>
    <row r="34" spans="1:16" ht="15" customHeight="1" x14ac:dyDescent="0.2">
      <c r="A34" t="s">
        <v>611</v>
      </c>
      <c r="B34" s="39">
        <v>562432</v>
      </c>
      <c r="C34" s="39">
        <v>723716</v>
      </c>
      <c r="D34" s="39">
        <v>792067</v>
      </c>
      <c r="E34" s="39">
        <v>989646</v>
      </c>
      <c r="F34" s="39">
        <v>1069403</v>
      </c>
      <c r="G34" s="39">
        <v>1188440</v>
      </c>
      <c r="H34" s="39">
        <v>1300038</v>
      </c>
      <c r="I34" s="39">
        <v>1316088</v>
      </c>
      <c r="J34" s="39">
        <v>1332965</v>
      </c>
      <c r="K34" s="39">
        <v>1367375</v>
      </c>
    </row>
    <row r="35" spans="1:16" ht="15" customHeight="1" x14ac:dyDescent="0.2">
      <c r="A35" t="s">
        <v>612</v>
      </c>
      <c r="B35" s="39">
        <v>188018</v>
      </c>
      <c r="C35" s="39">
        <v>243906</v>
      </c>
      <c r="D35" s="39">
        <v>376747</v>
      </c>
      <c r="E35" s="39">
        <v>612608</v>
      </c>
      <c r="F35" s="39">
        <v>698704</v>
      </c>
      <c r="G35" s="39">
        <v>922887</v>
      </c>
      <c r="H35" s="39">
        <v>973131</v>
      </c>
      <c r="I35" s="39">
        <v>1166512</v>
      </c>
      <c r="J35" s="39">
        <v>1757087</v>
      </c>
      <c r="K35" s="39">
        <v>1696272</v>
      </c>
    </row>
    <row r="37" spans="1:16" ht="15" customHeight="1" x14ac:dyDescent="0.2">
      <c r="A37" t="s">
        <v>66</v>
      </c>
      <c r="B37" s="39">
        <v>750450</v>
      </c>
      <c r="C37" s="39">
        <v>967722</v>
      </c>
      <c r="D37" s="39">
        <v>1168814</v>
      </c>
      <c r="E37" s="39">
        <v>1602254</v>
      </c>
      <c r="F37" s="39">
        <v>1768129</v>
      </c>
      <c r="G37" s="39">
        <v>2111327</v>
      </c>
      <c r="H37" s="39">
        <v>2273169</v>
      </c>
      <c r="I37" s="39">
        <v>2482600</v>
      </c>
      <c r="J37" s="39">
        <v>3089952</v>
      </c>
      <c r="K37" s="39">
        <v>3063647</v>
      </c>
      <c r="L37" s="13">
        <f>L17-L31</f>
        <v>2873768.3629655214</v>
      </c>
      <c r="M37" s="13">
        <f>M17-M31</f>
        <v>3046743.5286286711</v>
      </c>
      <c r="N37" s="13">
        <f>N17-N31</f>
        <v>3231069.0671603433</v>
      </c>
      <c r="O37" s="13">
        <f>O17-O31</f>
        <v>3427899.5393902198</v>
      </c>
      <c r="P37" s="13">
        <f>P17-P31</f>
        <v>3636879.2531555607</v>
      </c>
    </row>
    <row r="39" spans="1:16" ht="15" customHeight="1" x14ac:dyDescent="0.2">
      <c r="A39" s="2" t="s">
        <v>613</v>
      </c>
    </row>
    <row r="40" spans="1:16" ht="15" customHeight="1" x14ac:dyDescent="0.2">
      <c r="A40" t="s">
        <v>614</v>
      </c>
      <c r="B40" s="9">
        <f t="shared" ref="B40:P40" si="4">B22-B14</f>
        <v>972862</v>
      </c>
      <c r="C40" s="9">
        <f t="shared" si="4"/>
        <v>1076507</v>
      </c>
      <c r="D40" s="9">
        <f t="shared" si="4"/>
        <v>1342037</v>
      </c>
      <c r="E40" s="9">
        <f t="shared" si="4"/>
        <v>1425469</v>
      </c>
      <c r="F40" s="9">
        <f t="shared" si="4"/>
        <v>1636162</v>
      </c>
      <c r="G40" s="9">
        <f t="shared" si="4"/>
        <v>1976629</v>
      </c>
      <c r="H40" s="9">
        <f t="shared" si="4"/>
        <v>2091306</v>
      </c>
      <c r="I40" s="9">
        <f t="shared" si="4"/>
        <v>2131233</v>
      </c>
      <c r="J40" s="9">
        <f t="shared" si="4"/>
        <v>2180670</v>
      </c>
      <c r="K40" s="9">
        <f t="shared" si="4"/>
        <v>2281470</v>
      </c>
      <c r="L40" s="9">
        <f t="shared" si="4"/>
        <v>2277703.8287844798</v>
      </c>
      <c r="M40" s="9">
        <f t="shared" si="4"/>
        <v>2257525.0357411071</v>
      </c>
      <c r="N40" s="9">
        <f t="shared" si="4"/>
        <v>2230447.048624855</v>
      </c>
      <c r="O40" s="9">
        <f t="shared" si="4"/>
        <v>2195444.9749841602</v>
      </c>
      <c r="P40" s="9">
        <f t="shared" si="4"/>
        <v>2153007.9527355698</v>
      </c>
    </row>
    <row r="41" spans="1:16" ht="15" customHeight="1" x14ac:dyDescent="0.2">
      <c r="A41" t="s">
        <v>68</v>
      </c>
      <c r="B41" s="10">
        <f>IF(IS!B26=0,"-",B40/IS!B26)</f>
        <v>10.450543548317793</v>
      </c>
      <c r="C41" s="10">
        <f>IF(IS!C26=0,"-",C40/IS!C26)</f>
        <v>10.494828174506459</v>
      </c>
      <c r="D41" s="10">
        <f>IF(IS!D26=0,"-",D40/IS!D26)</f>
        <v>11.007250477760554</v>
      </c>
      <c r="E41" s="10">
        <f>IF(IS!E26=0,"-",E40/IS!E26)</f>
        <v>10.043889687438348</v>
      </c>
      <c r="F41" s="10">
        <f>IF(IS!F26=0,"-",F40/IS!F26)</f>
        <v>10.863063266430748</v>
      </c>
      <c r="G41" s="10">
        <f>IF(IS!G26=0,"-",G40/IS!G26)</f>
        <v>11.876139319982936</v>
      </c>
      <c r="H41" s="10">
        <f>IF(IS!H26=0,"-",H40/IS!H26)</f>
        <v>10.791609474173073</v>
      </c>
      <c r="I41" s="10">
        <f>IF(IS!I26=0,"-",I40/IS!I26)</f>
        <v>10.334704031112253</v>
      </c>
      <c r="J41" s="10">
        <f>IF(IS!J26=0,"-",J40/IS!J26)</f>
        <v>10.020954823055821</v>
      </c>
      <c r="K41" s="10">
        <f>IF(IS!K26=0,"-",K40/IS!K26)</f>
        <v>9.6756504590852224</v>
      </c>
      <c r="L41" s="10">
        <f>IF(IS!L26=0,"-",L40/IS!L26)</f>
        <v>9.5201750778945957</v>
      </c>
      <c r="M41" s="10">
        <f>IF(IS!M26=0,"-",M40/IS!M26)</f>
        <v>9.1522315105139107</v>
      </c>
      <c r="N41" s="10">
        <f>IF(IS!N26=0,"-",N40/IS!N26)</f>
        <v>8.7707427125204784</v>
      </c>
      <c r="O41" s="10">
        <f>IF(IS!O26=0,"-",O40/IS!O26)</f>
        <v>8.3875137297053115</v>
      </c>
      <c r="P41" s="10">
        <f>IF(IS!P26=0,"-",P40/IS!P26)</f>
        <v>7.9914271499551637</v>
      </c>
    </row>
    <row r="42" spans="1:16" ht="15" customHeight="1" x14ac:dyDescent="0.2">
      <c r="A42" t="s">
        <v>69</v>
      </c>
      <c r="B42" s="4">
        <f t="shared" ref="B42:P42" si="5">IF(B17=0,"-",B22/B17)</f>
        <v>0.50186025287364422</v>
      </c>
      <c r="C42" s="4">
        <f t="shared" si="5"/>
        <v>0.47096845375366148</v>
      </c>
      <c r="D42" s="4">
        <f t="shared" si="5"/>
        <v>0.47649877531771284</v>
      </c>
      <c r="E42" s="4">
        <f t="shared" si="5"/>
        <v>0.42551107955385936</v>
      </c>
      <c r="F42" s="4">
        <f t="shared" si="5"/>
        <v>0.4339181689156269</v>
      </c>
      <c r="G42" s="4">
        <f t="shared" si="5"/>
        <v>0.43181412630798643</v>
      </c>
      <c r="H42" s="4">
        <f t="shared" si="5"/>
        <v>0.43223439303800987</v>
      </c>
      <c r="I42" s="4">
        <f t="shared" si="5"/>
        <v>0.42264287138364259</v>
      </c>
      <c r="J42" s="4">
        <f t="shared" si="5"/>
        <v>0.40326100342808829</v>
      </c>
      <c r="K42" s="4">
        <f t="shared" si="5"/>
        <v>0.41605591702508471</v>
      </c>
      <c r="L42" s="4">
        <f t="shared" si="5"/>
        <v>0.43028784414314641</v>
      </c>
      <c r="M42" s="4">
        <f t="shared" si="5"/>
        <v>0.41451086085545735</v>
      </c>
      <c r="N42" s="4">
        <f t="shared" si="5"/>
        <v>0.39804632375934951</v>
      </c>
      <c r="O42" s="4">
        <f t="shared" si="5"/>
        <v>0.38080229092625623</v>
      </c>
      <c r="P42" s="4">
        <f t="shared" si="5"/>
        <v>0.36295680728749569</v>
      </c>
    </row>
    <row r="44" spans="1:16" ht="15" customHeight="1" x14ac:dyDescent="0.2">
      <c r="A44" s="2" t="s">
        <v>615</v>
      </c>
    </row>
    <row r="45" spans="1:16" ht="15" customHeight="1" x14ac:dyDescent="0.2">
      <c r="A45" t="s">
        <v>616</v>
      </c>
      <c r="B45" s="9">
        <f>IS!B18</f>
        <v>105424</v>
      </c>
      <c r="C45" s="9">
        <f>IS!C18</f>
        <v>115220</v>
      </c>
      <c r="D45" s="9">
        <f>IS!D18</f>
        <v>135712</v>
      </c>
      <c r="E45" s="9">
        <f>IS!E18</f>
        <v>152336</v>
      </c>
      <c r="F45" s="9">
        <f>IS!F18</f>
        <v>164662</v>
      </c>
      <c r="G45" s="9">
        <f>IS!G18</f>
        <v>183235</v>
      </c>
      <c r="H45" s="9">
        <f>IS!H18</f>
        <v>206912</v>
      </c>
      <c r="I45" s="9">
        <f>IS!I18</f>
        <v>224043</v>
      </c>
      <c r="J45" s="9">
        <f>IS!J18</f>
        <v>240481</v>
      </c>
      <c r="K45" s="9">
        <f>IS!K18</f>
        <v>254828</v>
      </c>
      <c r="L45" s="9">
        <f>IS!L18</f>
        <v>262251.55958750006</v>
      </c>
      <c r="M45" s="9">
        <f>IS!M18</f>
        <v>269891.37821848894</v>
      </c>
      <c r="N45" s="9">
        <f>IS!N18</f>
        <v>277753.75578925991</v>
      </c>
      <c r="O45" s="9">
        <f>IS!O18</f>
        <v>285845.17571871902</v>
      </c>
      <c r="P45" s="9">
        <f>IS!P18</f>
        <v>294172.31029455655</v>
      </c>
    </row>
    <row r="47" spans="1:16" ht="15" customHeight="1" x14ac:dyDescent="0.2">
      <c r="A47" t="s">
        <v>617</v>
      </c>
      <c r="B47" s="37">
        <v>5.4899999999999997E-2</v>
      </c>
      <c r="C47" s="37">
        <v>5.3699999999999998E-2</v>
      </c>
      <c r="D47" s="37">
        <v>4.8500000000000001E-2</v>
      </c>
      <c r="E47" s="37">
        <v>4.5900000000000003E-2</v>
      </c>
      <c r="F47" s="37">
        <v>4.6699999999999998E-2</v>
      </c>
      <c r="G47" s="37">
        <v>4.41E-2</v>
      </c>
      <c r="H47" s="37">
        <v>4.2999999999999997E-2</v>
      </c>
      <c r="I47" s="37">
        <v>4.5499999999999999E-2</v>
      </c>
      <c r="J47" s="37">
        <v>4.6199999999999998E-2</v>
      </c>
      <c r="K47" s="37">
        <v>4.6800000000000001E-2</v>
      </c>
      <c r="L47" s="16">
        <f>Assumptions!B89</f>
        <v>0.05</v>
      </c>
      <c r="M47" s="16">
        <f>Assumptions!C89</f>
        <v>0.05</v>
      </c>
      <c r="N47" s="16">
        <f>Assumptions!D89</f>
        <v>0.05</v>
      </c>
      <c r="O47" s="16">
        <f>Assumptions!E89</f>
        <v>0.05</v>
      </c>
      <c r="P47" s="16">
        <f>Assumptions!F89</f>
        <v>0.05</v>
      </c>
    </row>
    <row r="49" spans="1:16" ht="15" customHeight="1" x14ac:dyDescent="0.2">
      <c r="A49" t="s">
        <v>618</v>
      </c>
      <c r="B49" s="9">
        <f t="shared" ref="B49:P49" si="6">IF(B47=0,0,B45/B47)</f>
        <v>1920291.4389799638</v>
      </c>
      <c r="C49" s="9">
        <f t="shared" si="6"/>
        <v>2145623.8361266297</v>
      </c>
      <c r="D49" s="9">
        <f t="shared" si="6"/>
        <v>2798185.5670103091</v>
      </c>
      <c r="E49" s="9">
        <f t="shared" si="6"/>
        <v>3318867.1023965138</v>
      </c>
      <c r="F49" s="9">
        <f t="shared" si="6"/>
        <v>3525952.8907922911</v>
      </c>
      <c r="G49" s="9">
        <f t="shared" si="6"/>
        <v>4154988.6621315191</v>
      </c>
      <c r="H49" s="9">
        <f t="shared" si="6"/>
        <v>4811906.9767441861</v>
      </c>
      <c r="I49" s="9">
        <f t="shared" si="6"/>
        <v>4924021.9780219784</v>
      </c>
      <c r="J49" s="9">
        <f t="shared" si="6"/>
        <v>5205216.4502164507</v>
      </c>
      <c r="K49" s="9">
        <f t="shared" si="6"/>
        <v>5445042.735042735</v>
      </c>
      <c r="L49" s="9">
        <f t="shared" si="6"/>
        <v>5245031.1917500012</v>
      </c>
      <c r="M49" s="9">
        <f t="shared" si="6"/>
        <v>5397827.5643697781</v>
      </c>
      <c r="N49" s="9">
        <f t="shared" si="6"/>
        <v>5555075.1157851983</v>
      </c>
      <c r="O49" s="9">
        <f t="shared" si="6"/>
        <v>5716903.51437438</v>
      </c>
      <c r="P49" s="9">
        <f t="shared" si="6"/>
        <v>5883446.2058911305</v>
      </c>
    </row>
    <row r="51" spans="1:16" ht="15" customHeight="1" x14ac:dyDescent="0.2">
      <c r="A51" t="s">
        <v>619</v>
      </c>
      <c r="B51" s="9">
        <f t="shared" ref="B51:P51" si="7">B49</f>
        <v>1920291.4389799638</v>
      </c>
      <c r="C51" s="9">
        <f t="shared" si="7"/>
        <v>2145623.8361266297</v>
      </c>
      <c r="D51" s="9">
        <f t="shared" si="7"/>
        <v>2798185.5670103091</v>
      </c>
      <c r="E51" s="9">
        <f t="shared" si="7"/>
        <v>3318867.1023965138</v>
      </c>
      <c r="F51" s="9">
        <f t="shared" si="7"/>
        <v>3525952.8907922911</v>
      </c>
      <c r="G51" s="9">
        <f t="shared" si="7"/>
        <v>4154988.6621315191</v>
      </c>
      <c r="H51" s="9">
        <f t="shared" si="7"/>
        <v>4811906.9767441861</v>
      </c>
      <c r="I51" s="9">
        <f t="shared" si="7"/>
        <v>4924021.9780219784</v>
      </c>
      <c r="J51" s="9">
        <f t="shared" si="7"/>
        <v>5205216.4502164507</v>
      </c>
      <c r="K51" s="9">
        <f t="shared" si="7"/>
        <v>5445042.735042735</v>
      </c>
      <c r="L51" s="9">
        <f t="shared" si="7"/>
        <v>5245031.1917500012</v>
      </c>
      <c r="M51" s="9">
        <f t="shared" si="7"/>
        <v>5397827.5643697781</v>
      </c>
      <c r="N51" s="9">
        <f t="shared" si="7"/>
        <v>5555075.1157851983</v>
      </c>
      <c r="O51" s="9">
        <f t="shared" si="7"/>
        <v>5716903.51437438</v>
      </c>
      <c r="P51" s="9">
        <f t="shared" si="7"/>
        <v>5883446.2058911305</v>
      </c>
    </row>
    <row r="52" spans="1:16" ht="15" customHeight="1" x14ac:dyDescent="0.2">
      <c r="A52" t="s">
        <v>620</v>
      </c>
      <c r="B52" s="9">
        <f t="shared" ref="B52:P52" si="8">-B40</f>
        <v>-972862</v>
      </c>
      <c r="C52" s="9">
        <f t="shared" si="8"/>
        <v>-1076507</v>
      </c>
      <c r="D52" s="9">
        <f t="shared" si="8"/>
        <v>-1342037</v>
      </c>
      <c r="E52" s="9">
        <f t="shared" si="8"/>
        <v>-1425469</v>
      </c>
      <c r="F52" s="9">
        <f t="shared" si="8"/>
        <v>-1636162</v>
      </c>
      <c r="G52" s="9">
        <f t="shared" si="8"/>
        <v>-1976629</v>
      </c>
      <c r="H52" s="9">
        <f t="shared" si="8"/>
        <v>-2091306</v>
      </c>
      <c r="I52" s="9">
        <f t="shared" si="8"/>
        <v>-2131233</v>
      </c>
      <c r="J52" s="9">
        <f t="shared" si="8"/>
        <v>-2180670</v>
      </c>
      <c r="K52" s="9">
        <f t="shared" si="8"/>
        <v>-2281470</v>
      </c>
      <c r="L52" s="9">
        <f t="shared" si="8"/>
        <v>-2277703.8287844798</v>
      </c>
      <c r="M52" s="9">
        <f t="shared" si="8"/>
        <v>-2257525.0357411071</v>
      </c>
      <c r="N52" s="9">
        <f t="shared" si="8"/>
        <v>-2230447.048624855</v>
      </c>
      <c r="O52" s="9">
        <f t="shared" si="8"/>
        <v>-2195444.9749841602</v>
      </c>
      <c r="P52" s="9">
        <f t="shared" si="8"/>
        <v>-2153007.9527355698</v>
      </c>
    </row>
    <row r="53" spans="1:16" ht="15" customHeight="1" x14ac:dyDescent="0.2">
      <c r="A53" t="s">
        <v>621</v>
      </c>
      <c r="B53" s="9">
        <f t="shared" ref="B53:P53" si="9">-(B25+B26+B27+B28+B29)</f>
        <v>-239669</v>
      </c>
      <c r="C53" s="9">
        <f t="shared" si="9"/>
        <v>-254981</v>
      </c>
      <c r="D53" s="9">
        <f t="shared" si="9"/>
        <v>-309766</v>
      </c>
      <c r="E53" s="9">
        <f t="shared" si="9"/>
        <v>-339576</v>
      </c>
      <c r="F53" s="9">
        <f t="shared" si="9"/>
        <v>-369713</v>
      </c>
      <c r="G53" s="9">
        <f t="shared" si="9"/>
        <v>-490116</v>
      </c>
      <c r="H53" s="9">
        <f t="shared" si="9"/>
        <v>-485905</v>
      </c>
      <c r="I53" s="9">
        <f t="shared" si="9"/>
        <v>-448044</v>
      </c>
      <c r="J53" s="9">
        <f t="shared" si="9"/>
        <v>-156517</v>
      </c>
      <c r="K53" s="9">
        <f t="shared" si="9"/>
        <v>-152310</v>
      </c>
      <c r="L53" s="9">
        <f t="shared" si="9"/>
        <v>-141970</v>
      </c>
      <c r="M53" s="9">
        <f t="shared" si="9"/>
        <v>-141970</v>
      </c>
      <c r="N53" s="9">
        <f t="shared" si="9"/>
        <v>-141970</v>
      </c>
      <c r="O53" s="9">
        <f t="shared" si="9"/>
        <v>-141970</v>
      </c>
      <c r="P53" s="9">
        <f t="shared" si="9"/>
        <v>-141970</v>
      </c>
    </row>
    <row r="54" spans="1:16" ht="15" customHeight="1" x14ac:dyDescent="0.2">
      <c r="A54" s="5" t="s">
        <v>622</v>
      </c>
      <c r="B54" s="11">
        <f t="shared" ref="B54:P54" si="10">B9+B12+B15</f>
        <v>20172</v>
      </c>
      <c r="C54" s="11">
        <f t="shared" si="10"/>
        <v>19447</v>
      </c>
      <c r="D54" s="11">
        <f t="shared" si="10"/>
        <v>20924</v>
      </c>
      <c r="E54" s="11">
        <f t="shared" si="10"/>
        <v>46695</v>
      </c>
      <c r="F54" s="11">
        <f t="shared" si="10"/>
        <v>32086</v>
      </c>
      <c r="G54" s="11">
        <f t="shared" si="10"/>
        <v>37195</v>
      </c>
      <c r="H54" s="11">
        <f t="shared" si="10"/>
        <v>37579</v>
      </c>
      <c r="I54" s="11">
        <f t="shared" si="10"/>
        <v>34071</v>
      </c>
      <c r="J54" s="11">
        <f t="shared" si="10"/>
        <v>42419</v>
      </c>
      <c r="K54" s="11">
        <f t="shared" si="10"/>
        <v>48411</v>
      </c>
      <c r="L54" s="11">
        <f t="shared" si="10"/>
        <v>48411</v>
      </c>
      <c r="M54" s="11">
        <f t="shared" si="10"/>
        <v>48411</v>
      </c>
      <c r="N54" s="11">
        <f t="shared" si="10"/>
        <v>48411</v>
      </c>
      <c r="O54" s="11">
        <f t="shared" si="10"/>
        <v>48411</v>
      </c>
      <c r="P54" s="11">
        <f t="shared" si="10"/>
        <v>48411</v>
      </c>
    </row>
    <row r="56" spans="1:16" ht="15" customHeight="1" x14ac:dyDescent="0.2">
      <c r="A56" t="s">
        <v>623</v>
      </c>
      <c r="B56" s="9">
        <f t="shared" ref="B56:P56" si="11">B51+B52+B53+B54</f>
        <v>727932.43897996377</v>
      </c>
      <c r="C56" s="9">
        <f t="shared" si="11"/>
        <v>833582.83612662973</v>
      </c>
      <c r="D56" s="9">
        <f t="shared" si="11"/>
        <v>1167306.5670103091</v>
      </c>
      <c r="E56" s="9">
        <f t="shared" si="11"/>
        <v>1600517.1023965138</v>
      </c>
      <c r="F56" s="9">
        <f t="shared" si="11"/>
        <v>1552163.8907922911</v>
      </c>
      <c r="G56" s="9">
        <f t="shared" si="11"/>
        <v>1725438.6621315191</v>
      </c>
      <c r="H56" s="9">
        <f t="shared" si="11"/>
        <v>2272274.9767441861</v>
      </c>
      <c r="I56" s="9">
        <f t="shared" si="11"/>
        <v>2378815.9780219784</v>
      </c>
      <c r="J56" s="9">
        <f t="shared" si="11"/>
        <v>2910448.4502164507</v>
      </c>
      <c r="K56" s="9">
        <f t="shared" si="11"/>
        <v>3059673.735042735</v>
      </c>
      <c r="L56" s="9">
        <f t="shared" si="11"/>
        <v>2873768.3629655214</v>
      </c>
      <c r="M56" s="9">
        <f t="shared" si="11"/>
        <v>3046743.5286286711</v>
      </c>
      <c r="N56" s="9">
        <f t="shared" si="11"/>
        <v>3231069.0671603433</v>
      </c>
      <c r="O56" s="9">
        <f t="shared" si="11"/>
        <v>3427899.5393902198</v>
      </c>
      <c r="P56" s="9">
        <f t="shared" si="11"/>
        <v>3636879.2531555607</v>
      </c>
    </row>
    <row r="57" spans="1:16" ht="15" customHeight="1" x14ac:dyDescent="0.2">
      <c r="A57" t="s">
        <v>624</v>
      </c>
      <c r="B57" s="39">
        <v>71736</v>
      </c>
      <c r="C57" s="39">
        <v>84428</v>
      </c>
      <c r="D57" s="39">
        <v>90213</v>
      </c>
      <c r="E57" s="39">
        <v>97948</v>
      </c>
      <c r="F57" s="39">
        <v>107314</v>
      </c>
      <c r="G57" s="39">
        <v>110557</v>
      </c>
      <c r="H57" s="39">
        <v>116801</v>
      </c>
      <c r="I57" s="39">
        <v>118298</v>
      </c>
      <c r="J57" s="39">
        <v>119621</v>
      </c>
      <c r="K57" s="39">
        <v>121458</v>
      </c>
      <c r="L57" s="9">
        <f>Assumptions!B74</f>
        <v>126315.1627093596</v>
      </c>
      <c r="M57" s="9">
        <f>Assumptions!C74</f>
        <v>127827.21120878692</v>
      </c>
      <c r="N57" s="9">
        <f>Assumptions!D74</f>
        <v>129357.3595991187</v>
      </c>
      <c r="O57" s="9">
        <f>Assumptions!E74</f>
        <v>130905.82454407366</v>
      </c>
      <c r="P57" s="9">
        <f>Assumptions!F74</f>
        <v>132472.82530093129</v>
      </c>
    </row>
    <row r="58" spans="1:16" ht="15" customHeight="1" x14ac:dyDescent="0.2">
      <c r="A58" t="s">
        <v>625</v>
      </c>
      <c r="B58" s="3">
        <f t="shared" ref="B58:P58" si="12">IF(B57=0,"-",B56/B57)</f>
        <v>10.147379822961467</v>
      </c>
      <c r="C58" s="3">
        <f t="shared" si="12"/>
        <v>9.8732983859220838</v>
      </c>
      <c r="D58" s="3">
        <f t="shared" si="12"/>
        <v>12.939449602721439</v>
      </c>
      <c r="E58" s="3">
        <f t="shared" si="12"/>
        <v>16.34047762482658</v>
      </c>
      <c r="F58" s="3">
        <f t="shared" si="12"/>
        <v>14.463759535496685</v>
      </c>
      <c r="G58" s="3">
        <f t="shared" si="12"/>
        <v>15.606778965886548</v>
      </c>
      <c r="H58" s="3">
        <f t="shared" si="12"/>
        <v>19.454242487172081</v>
      </c>
      <c r="I58" s="3">
        <f t="shared" si="12"/>
        <v>20.108674517083791</v>
      </c>
      <c r="J58" s="3">
        <f t="shared" si="12"/>
        <v>24.330581170667781</v>
      </c>
      <c r="K58" s="3">
        <f t="shared" si="12"/>
        <v>25.191207948778466</v>
      </c>
      <c r="L58" s="3">
        <f t="shared" si="12"/>
        <v>22.75077909354253</v>
      </c>
      <c r="M58" s="3">
        <f t="shared" si="12"/>
        <v>23.834858789591085</v>
      </c>
      <c r="N58" s="3">
        <f t="shared" si="12"/>
        <v>24.977852649230762</v>
      </c>
      <c r="O58" s="3">
        <f t="shared" si="12"/>
        <v>26.18599708094812</v>
      </c>
      <c r="P58" s="3">
        <f t="shared" si="12"/>
        <v>27.453775858511815</v>
      </c>
    </row>
    <row r="59" spans="1:16" ht="15" customHeight="1" x14ac:dyDescent="0.2">
      <c r="A59" t="s">
        <v>626</v>
      </c>
      <c r="B59" s="3">
        <f t="shared" ref="B59:P59" si="13">IF(B57=0,"-",B37/B57)</f>
        <v>10.461274673803947</v>
      </c>
      <c r="C59" s="3">
        <f t="shared" si="13"/>
        <v>11.462097882219169</v>
      </c>
      <c r="D59" s="3">
        <f t="shared" si="13"/>
        <v>12.956159311850842</v>
      </c>
      <c r="E59" s="3">
        <f t="shared" si="13"/>
        <v>16.35821047902969</v>
      </c>
      <c r="F59" s="3">
        <f t="shared" si="13"/>
        <v>16.476219319007772</v>
      </c>
      <c r="G59" s="3">
        <f t="shared" si="13"/>
        <v>19.097180639850937</v>
      </c>
      <c r="H59" s="3">
        <f t="shared" si="13"/>
        <v>19.461896730336214</v>
      </c>
      <c r="I59" s="3">
        <f t="shared" si="13"/>
        <v>20.985984547498688</v>
      </c>
      <c r="J59" s="3">
        <f t="shared" si="13"/>
        <v>25.831183487849124</v>
      </c>
      <c r="K59" s="3">
        <f t="shared" si="13"/>
        <v>25.223921026198358</v>
      </c>
      <c r="L59" s="3">
        <f t="shared" si="13"/>
        <v>22.75077909354253</v>
      </c>
      <c r="M59" s="3">
        <f t="shared" si="13"/>
        <v>23.834858789591085</v>
      </c>
      <c r="N59" s="3">
        <f t="shared" si="13"/>
        <v>24.977852649230762</v>
      </c>
      <c r="O59" s="3">
        <f t="shared" si="13"/>
        <v>26.18599708094812</v>
      </c>
      <c r="P59" s="3">
        <f t="shared" si="13"/>
        <v>27.453775858511815</v>
      </c>
    </row>
    <row r="60" spans="1:16" ht="15" customHeight="1" x14ac:dyDescent="0.2">
      <c r="A60" s="2" t="s">
        <v>627</v>
      </c>
    </row>
    <row r="61" spans="1:16" ht="15" customHeight="1" x14ac:dyDescent="0.2">
      <c r="A61" t="s">
        <v>628</v>
      </c>
      <c r="B61" s="4">
        <f>IF(B8=0,"-",IS!B18/B8)</f>
        <v>5.4263697563682274E-2</v>
      </c>
      <c r="C61" s="4">
        <f>IF(C8=0,"-",IS!C18/C8)</f>
        <v>5.0540341254770783E-2</v>
      </c>
      <c r="D61" s="4">
        <f>IF(D8=0,"-",IS!D18/D8)</f>
        <v>4.8473886243956037E-2</v>
      </c>
      <c r="E61" s="4">
        <f>IF(E8=0,"-",IS!E18/E8)</f>
        <v>4.5875991235329476E-2</v>
      </c>
      <c r="F61" s="4">
        <f>IF(F8=0,"-",IS!F18/F8)</f>
        <v>4.4004705608193445E-2</v>
      </c>
      <c r="G61" s="4">
        <f>IF(G8=0,"-",IS!G18/G8)</f>
        <v>4.0352337224725532E-2</v>
      </c>
      <c r="H61" s="4">
        <f>IF(H8=0,"-",IS!H18/H8)</f>
        <v>4.2992012343747436E-2</v>
      </c>
      <c r="I61" s="4">
        <f>IF(I8=0,"-",IS!I18/I8)</f>
        <v>4.4560788542756025E-2</v>
      </c>
      <c r="J61" s="4">
        <f>IF(J8=0,"-",IS!J18/J8)</f>
        <v>4.4659889465004682E-2</v>
      </c>
      <c r="K61" s="4">
        <f>IF(K8=0,"-",IS!K18/K8)</f>
        <v>4.6765874792806625E-2</v>
      </c>
      <c r="L61" s="4">
        <f>IF(L8=0,"-",IS!L18/L8)</f>
        <v>0.05</v>
      </c>
      <c r="M61" s="4">
        <f>IF(M8=0,"-",IS!M18/M8)</f>
        <v>5.000000000000001E-2</v>
      </c>
      <c r="N61" s="4">
        <f>IF(N8=0,"-",IS!N18/N8)</f>
        <v>0.05</v>
      </c>
      <c r="O61" s="4">
        <f>IF(O8=0,"-",IS!O18/O8)</f>
        <v>0.05</v>
      </c>
      <c r="P61" s="4">
        <f>IF(P8=0,"-",IS!P18/P8)</f>
        <v>0.05</v>
      </c>
    </row>
    <row r="62" spans="1:16" ht="15" customHeight="1" x14ac:dyDescent="0.2">
      <c r="A62" t="s">
        <v>77</v>
      </c>
      <c r="B62" s="41">
        <v>11.94</v>
      </c>
      <c r="C62" s="41">
        <v>14.22</v>
      </c>
      <c r="D62" s="41">
        <v>14.95</v>
      </c>
      <c r="E62" s="41">
        <v>19.899999999999999</v>
      </c>
      <c r="F62" s="41">
        <v>17.100000000000001</v>
      </c>
      <c r="G62" s="41">
        <v>20.8</v>
      </c>
      <c r="H62" s="41">
        <v>17.78</v>
      </c>
      <c r="I62" s="41">
        <v>15.78</v>
      </c>
      <c r="J62" s="41">
        <v>21.22</v>
      </c>
      <c r="K62" s="41">
        <v>16.239999999999998</v>
      </c>
      <c r="L62" s="3">
        <f>K62</f>
        <v>16.239999999999998</v>
      </c>
      <c r="M62" s="3">
        <f>L62</f>
        <v>16.239999999999998</v>
      </c>
      <c r="N62" s="3">
        <f>M62</f>
        <v>16.239999999999998</v>
      </c>
      <c r="O62" s="3">
        <f>N62</f>
        <v>16.239999999999998</v>
      </c>
      <c r="P62" s="3">
        <f>O62</f>
        <v>16.239999999999998</v>
      </c>
    </row>
    <row r="63" spans="1:16" ht="15" customHeight="1" x14ac:dyDescent="0.2">
      <c r="A63" t="s">
        <v>629</v>
      </c>
      <c r="B63" s="9">
        <f t="shared" ref="B63:P63" si="14">B62*B57</f>
        <v>856527.84</v>
      </c>
      <c r="C63" s="9">
        <f t="shared" si="14"/>
        <v>1200566.1600000001</v>
      </c>
      <c r="D63" s="9">
        <f t="shared" si="14"/>
        <v>1348684.3499999999</v>
      </c>
      <c r="E63" s="9">
        <f t="shared" si="14"/>
        <v>1949165.2</v>
      </c>
      <c r="F63" s="9">
        <f t="shared" si="14"/>
        <v>1835069.4000000001</v>
      </c>
      <c r="G63" s="9">
        <f t="shared" si="14"/>
        <v>2299585.6</v>
      </c>
      <c r="H63" s="9">
        <f t="shared" si="14"/>
        <v>2076721.78</v>
      </c>
      <c r="I63" s="9">
        <f t="shared" si="14"/>
        <v>1866742.44</v>
      </c>
      <c r="J63" s="9">
        <f t="shared" si="14"/>
        <v>2538357.6199999996</v>
      </c>
      <c r="K63" s="9">
        <f t="shared" si="14"/>
        <v>1972477.92</v>
      </c>
      <c r="L63" s="9">
        <f t="shared" si="14"/>
        <v>2051358.2423999999</v>
      </c>
      <c r="M63" s="9">
        <f t="shared" si="14"/>
        <v>2075913.9100306993</v>
      </c>
      <c r="N63" s="9">
        <f t="shared" si="14"/>
        <v>2100763.5198896877</v>
      </c>
      <c r="O63" s="9">
        <f t="shared" si="14"/>
        <v>2125910.5905957562</v>
      </c>
      <c r="P63" s="9">
        <f t="shared" si="14"/>
        <v>2151358.6828871239</v>
      </c>
    </row>
    <row r="64" spans="1:16" ht="15" customHeight="1" x14ac:dyDescent="0.2">
      <c r="A64" t="s">
        <v>630</v>
      </c>
      <c r="B64" s="9">
        <f t="shared" ref="B64:P64" si="15">B63+B40</f>
        <v>1829389.8399999999</v>
      </c>
      <c r="C64" s="9">
        <f t="shared" si="15"/>
        <v>2277073.16</v>
      </c>
      <c r="D64" s="9">
        <f t="shared" si="15"/>
        <v>2690721.3499999996</v>
      </c>
      <c r="E64" s="9">
        <f t="shared" si="15"/>
        <v>3374634.2</v>
      </c>
      <c r="F64" s="9">
        <f t="shared" si="15"/>
        <v>3471231.4000000004</v>
      </c>
      <c r="G64" s="9">
        <f t="shared" si="15"/>
        <v>4276214.5999999996</v>
      </c>
      <c r="H64" s="9">
        <f t="shared" si="15"/>
        <v>4168027.7800000003</v>
      </c>
      <c r="I64" s="9">
        <f t="shared" si="15"/>
        <v>3997975.44</v>
      </c>
      <c r="J64" s="9">
        <f t="shared" si="15"/>
        <v>4719027.6199999992</v>
      </c>
      <c r="K64" s="9">
        <f t="shared" si="15"/>
        <v>4253947.92</v>
      </c>
      <c r="L64" s="9">
        <f t="shared" si="15"/>
        <v>4329062.0711844796</v>
      </c>
      <c r="M64" s="9">
        <f t="shared" si="15"/>
        <v>4333438.9457718059</v>
      </c>
      <c r="N64" s="9">
        <f t="shared" si="15"/>
        <v>4331210.5685145427</v>
      </c>
      <c r="O64" s="9">
        <f t="shared" si="15"/>
        <v>4321355.5655799164</v>
      </c>
      <c r="P64" s="9">
        <f t="shared" si="15"/>
        <v>4304366.6356226932</v>
      </c>
    </row>
    <row r="65" spans="1:16" ht="15" customHeight="1" x14ac:dyDescent="0.2">
      <c r="A65" s="7" t="s">
        <v>631</v>
      </c>
      <c r="B65" s="55">
        <f>IF(B64=0,"-",IS!B140/B64)</f>
        <v>5.97025639980596E-2</v>
      </c>
      <c r="C65" s="55">
        <f>IF(C64=0,"-",IS!C140/C64)</f>
        <v>5.3028845151378443E-2</v>
      </c>
      <c r="D65" s="55">
        <f>IF(D64=0,"-",IS!D140/D64)</f>
        <v>5.2504950763482071E-2</v>
      </c>
      <c r="E65" s="55">
        <f>IF(E64=0,"-",IS!E140/E64)</f>
        <v>4.6179739421831248E-2</v>
      </c>
      <c r="F65" s="55">
        <f>IF(F64=0,"-",IS!F140/F64)</f>
        <v>4.9855438044262901E-2</v>
      </c>
      <c r="G65" s="55">
        <f>IF(G64=0,"-",IS!G140/G64)</f>
        <v>4.486375520068614E-2</v>
      </c>
      <c r="H65" s="55">
        <f>IF(H64=0,"-",IS!H140/H64)</f>
        <v>5.3514791113028523E-2</v>
      </c>
      <c r="I65" s="55">
        <f>IF(I64=0,"-",IS!I140/I64)</f>
        <v>6.0690360068845241E-2</v>
      </c>
      <c r="J65" s="55">
        <f>IF(J64=0,"-",IS!J140/J64)</f>
        <v>5.406841441627333E-2</v>
      </c>
      <c r="K65" s="55">
        <f>IF(K64=0,"-",IS!K140/K64)</f>
        <v>6.1648982197106933E-2</v>
      </c>
      <c r="L65" s="4">
        <f>IF(L64=0,"-",IS!L18/L64)</f>
        <v>6.0579302231105484E-2</v>
      </c>
      <c r="M65" s="4">
        <f>IF(M64=0,"-",IS!M18/M64)</f>
        <v>6.2281107821266425E-2</v>
      </c>
      <c r="N65" s="4">
        <f>IF(N64=0,"-",IS!N18/N64)</f>
        <v>6.4128435086572108E-2</v>
      </c>
      <c r="O65" s="4">
        <f>IF(O64=0,"-",IS!O18/O64)</f>
        <v>6.6147108559061432E-2</v>
      </c>
      <c r="P65" s="4">
        <f>IF(P64=0,"-",IS!P18/P64)</f>
        <v>6.8342763337119861E-2</v>
      </c>
    </row>
    <row r="67" spans="1:16" ht="15" customHeight="1" x14ac:dyDescent="0.2">
      <c r="A67" t="s">
        <v>632</v>
      </c>
      <c r="B67" s="4">
        <f t="shared" ref="B67:P67" si="16">IF(B58=0,"-",(B62-B58)/B58)</f>
        <v>0.17665842890616906</v>
      </c>
      <c r="C67" s="4">
        <f t="shared" si="16"/>
        <v>0.44024817686819773</v>
      </c>
      <c r="D67" s="4">
        <f t="shared" si="16"/>
        <v>0.15538144658453629</v>
      </c>
      <c r="E67" s="4">
        <f t="shared" si="16"/>
        <v>0.21783465923696926</v>
      </c>
      <c r="F67" s="4">
        <f t="shared" si="16"/>
        <v>0.18226523042183501</v>
      </c>
      <c r="G67" s="4">
        <f t="shared" si="16"/>
        <v>0.33275418620747094</v>
      </c>
      <c r="H67" s="4">
        <f t="shared" si="16"/>
        <v>-8.6060533494226654E-2</v>
      </c>
      <c r="I67" s="4">
        <f t="shared" si="16"/>
        <v>-0.21526404007416133</v>
      </c>
      <c r="J67" s="4">
        <f t="shared" si="16"/>
        <v>-0.12784656267963732</v>
      </c>
      <c r="K67" s="4">
        <f t="shared" si="16"/>
        <v>-0.35533063626718686</v>
      </c>
      <c r="L67" s="4">
        <f t="shared" si="16"/>
        <v>-0.28617829159927621</v>
      </c>
      <c r="M67" s="4">
        <f t="shared" si="16"/>
        <v>-0.31864500883503599</v>
      </c>
      <c r="N67" s="4">
        <f t="shared" si="16"/>
        <v>-0.34982401297414417</v>
      </c>
      <c r="O67" s="4">
        <f t="shared" si="16"/>
        <v>-0.37982120941212622</v>
      </c>
      <c r="P67" s="4">
        <f t="shared" si="16"/>
        <v>-0.40846023936030201</v>
      </c>
    </row>
    <row r="69" spans="1:16" ht="15" customHeight="1" x14ac:dyDescent="0.2">
      <c r="A69" s="18" t="s">
        <v>633</v>
      </c>
    </row>
    <row r="71" spans="1:16" ht="15" customHeight="1" x14ac:dyDescent="0.2">
      <c r="A71" s="7" t="s">
        <v>71</v>
      </c>
      <c r="B71" s="11">
        <f>IS!B140</f>
        <v>109219.26400000001</v>
      </c>
      <c r="C71" s="11">
        <f>IS!C140</f>
        <v>120750.56</v>
      </c>
      <c r="D71" s="11">
        <f>IS!D140</f>
        <v>141276.19199999998</v>
      </c>
      <c r="E71" s="11">
        <f>IS!E140</f>
        <v>155839.72799999997</v>
      </c>
      <c r="F71" s="11">
        <f>IS!F140</f>
        <v>173059.76199999999</v>
      </c>
      <c r="G71" s="11">
        <f>IS!G140</f>
        <v>191847.04499999998</v>
      </c>
      <c r="H71" s="11">
        <f>IS!H140</f>
        <v>223051.13600000003</v>
      </c>
      <c r="I71" s="11">
        <f>IS!I140</f>
        <v>242638.56899999999</v>
      </c>
      <c r="J71" s="11">
        <f>IS!J140</f>
        <v>255150.34099999999</v>
      </c>
      <c r="K71" s="11">
        <f>IS!K140</f>
        <v>262251.55958750006</v>
      </c>
      <c r="L71" s="11">
        <f>IS!L140</f>
        <v>269891.37821848894</v>
      </c>
      <c r="M71" s="11">
        <f>IS!M140</f>
        <v>277753.75578925991</v>
      </c>
      <c r="N71" s="11">
        <f>IS!N140</f>
        <v>285845.17571871902</v>
      </c>
      <c r="O71" s="11">
        <f>IS!O140</f>
        <v>294172.31029455655</v>
      </c>
    </row>
    <row r="72" spans="1:16" ht="15" customHeight="1" x14ac:dyDescent="0.2">
      <c r="A72" s="7" t="s">
        <v>81</v>
      </c>
      <c r="B72" s="16">
        <f>IS!B141</f>
        <v>5.6217190675974846E-2</v>
      </c>
      <c r="C72" s="16">
        <f>IS!C141</f>
        <v>5.2966277634999774E-2</v>
      </c>
      <c r="D72" s="16">
        <f>IS!D141</f>
        <v>5.0461315579958227E-2</v>
      </c>
      <c r="E72" s="16">
        <f>IS!E141</f>
        <v>4.6931139033742048E-2</v>
      </c>
      <c r="F72" s="16">
        <f>IS!F141</f>
        <v>4.6248945594211305E-2</v>
      </c>
      <c r="G72" s="16">
        <f>IS!G141</f>
        <v>4.2248897074287625E-2</v>
      </c>
      <c r="H72" s="16">
        <f>IS!H141</f>
        <v>4.6345389306559744E-2</v>
      </c>
      <c r="I72" s="16">
        <f>IS!I141</f>
        <v>4.8259333991804772E-2</v>
      </c>
      <c r="J72" s="16">
        <f>IS!J141</f>
        <v>4.738414272236996E-2</v>
      </c>
      <c r="K72" s="16">
        <f>IS!K141</f>
        <v>4.8128241794023002E-2</v>
      </c>
      <c r="L72" s="16">
        <f>IS!L141</f>
        <v>5.1456582115851988E-2</v>
      </c>
      <c r="M72" s="16">
        <f>IS!M141</f>
        <v>5.1456581833526756E-2</v>
      </c>
      <c r="N72" s="16">
        <f>IS!N141</f>
        <v>5.1456581551249721E-2</v>
      </c>
      <c r="O72" s="16">
        <f>IS!O141</f>
        <v>5.1456581269020911E-2</v>
      </c>
    </row>
    <row r="73" spans="1:16" ht="15" customHeight="1" x14ac:dyDescent="0.2">
      <c r="A73" s="5" t="s">
        <v>634</v>
      </c>
      <c r="B73" s="47">
        <f t="shared" ref="B73:P73" si="17">B61</f>
        <v>5.4263697563682274E-2</v>
      </c>
      <c r="C73" s="47">
        <f t="shared" si="17"/>
        <v>5.0540341254770783E-2</v>
      </c>
      <c r="D73" s="47">
        <f t="shared" si="17"/>
        <v>4.8473886243956037E-2</v>
      </c>
      <c r="E73" s="47">
        <f t="shared" si="17"/>
        <v>4.5875991235329476E-2</v>
      </c>
      <c r="F73" s="47">
        <f t="shared" si="17"/>
        <v>4.4004705608193445E-2</v>
      </c>
      <c r="G73" s="47">
        <f t="shared" si="17"/>
        <v>4.0352337224725532E-2</v>
      </c>
      <c r="H73" s="47">
        <f t="shared" si="17"/>
        <v>4.2992012343747436E-2</v>
      </c>
      <c r="I73" s="47">
        <f t="shared" si="17"/>
        <v>4.4560788542756025E-2</v>
      </c>
      <c r="J73" s="47">
        <f t="shared" si="17"/>
        <v>4.4659889465004682E-2</v>
      </c>
      <c r="K73" s="47">
        <f t="shared" si="17"/>
        <v>4.6765874792806625E-2</v>
      </c>
      <c r="L73" s="47">
        <f t="shared" si="17"/>
        <v>0.05</v>
      </c>
      <c r="M73" s="47">
        <f t="shared" si="17"/>
        <v>5.000000000000001E-2</v>
      </c>
      <c r="N73" s="47">
        <f t="shared" si="17"/>
        <v>0.05</v>
      </c>
      <c r="O73" s="47">
        <f t="shared" si="17"/>
        <v>0.05</v>
      </c>
      <c r="P73" s="47">
        <f t="shared" si="17"/>
        <v>0.05</v>
      </c>
    </row>
    <row r="74" spans="1:16" ht="15" customHeight="1" x14ac:dyDescent="0.2">
      <c r="A74" s="5" t="s">
        <v>635</v>
      </c>
      <c r="B74" s="6">
        <f>IS!B142</f>
        <v>13.171906759748483</v>
      </c>
      <c r="C74" s="6">
        <f>IS!C142</f>
        <v>-7.3372236500022368</v>
      </c>
      <c r="D74" s="6">
        <f>IS!D142</f>
        <v>19.613155799582255</v>
      </c>
      <c r="E74" s="6">
        <f>IS!E142</f>
        <v>10.311390337420443</v>
      </c>
      <c r="F74" s="6">
        <f>IS!F142</f>
        <v>-4.5105440578869365</v>
      </c>
      <c r="G74" s="6">
        <f>IS!G142</f>
        <v>-18.511029257123752</v>
      </c>
      <c r="H74" s="6">
        <f>IS!H142</f>
        <v>33.45389306559747</v>
      </c>
      <c r="I74" s="6">
        <f>IS!I142</f>
        <v>27.593339918047729</v>
      </c>
      <c r="J74" s="6">
        <f>IS!J142</f>
        <v>11.841427223699617</v>
      </c>
      <c r="K74" s="6">
        <f>IS!K142</f>
        <v>13.28241794023001</v>
      </c>
      <c r="L74" s="6">
        <f>IS!L142</f>
        <v>14.565821158519856</v>
      </c>
      <c r="M74" s="6">
        <f>IS!M142</f>
        <v>14.565818335267529</v>
      </c>
      <c r="N74" s="6">
        <f>IS!N142</f>
        <v>14.56581551249718</v>
      </c>
      <c r="O74" s="6">
        <f>IS!O142</f>
        <v>14.565812690209082</v>
      </c>
    </row>
    <row r="76" spans="1:16" ht="15" customHeight="1" x14ac:dyDescent="0.2">
      <c r="A76" s="7" t="s">
        <v>636</v>
      </c>
    </row>
    <row r="77" spans="1:16" ht="15" customHeight="1" x14ac:dyDescent="0.2">
      <c r="A77" s="7" t="s">
        <v>637</v>
      </c>
      <c r="B77" s="13" t="s">
        <v>638</v>
      </c>
      <c r="C77" s="13" t="s">
        <v>639</v>
      </c>
      <c r="D77" s="14" t="s">
        <v>640</v>
      </c>
    </row>
    <row r="78" spans="1:16" ht="15" customHeight="1" x14ac:dyDescent="0.2">
      <c r="A78" s="5" t="s">
        <v>641</v>
      </c>
      <c r="B78" s="22">
        <f>IF(0.04=0,"",K45/0.04)</f>
        <v>6370700</v>
      </c>
      <c r="C78" s="22">
        <f>B78+K52+K53+K54</f>
        <v>3985331</v>
      </c>
      <c r="D78" s="52">
        <f>IF(K57=0,"",C78/K57)</f>
        <v>32.812420754499499</v>
      </c>
    </row>
    <row r="79" spans="1:16" ht="15" customHeight="1" x14ac:dyDescent="0.2">
      <c r="A79" s="5" t="s">
        <v>642</v>
      </c>
      <c r="B79" s="22">
        <f>IF(0.0425=0,"",K45/0.0425)</f>
        <v>5995952.9411764704</v>
      </c>
      <c r="C79" s="22">
        <f>B79+K52+K53+K54</f>
        <v>3610583.9411764704</v>
      </c>
      <c r="D79" s="52">
        <f>IF(K57=0,"",C79/K57)</f>
        <v>29.727016262217973</v>
      </c>
    </row>
    <row r="80" spans="1:16" ht="15" customHeight="1" x14ac:dyDescent="0.2">
      <c r="A80" s="5" t="s">
        <v>643</v>
      </c>
      <c r="B80" s="22">
        <f>IF(0.045=0,"",K45/0.045)</f>
        <v>5662844.444444445</v>
      </c>
      <c r="C80" s="22">
        <f>B80+K52+K53+K54</f>
        <v>3277475.444444445</v>
      </c>
      <c r="D80" s="52">
        <f>IF(K57=0,"",C80/K57)</f>
        <v>26.984434491301066</v>
      </c>
    </row>
    <row r="81" spans="1:16" ht="15" customHeight="1" x14ac:dyDescent="0.2">
      <c r="A81" s="5" t="s">
        <v>644</v>
      </c>
      <c r="B81" s="22">
        <f>IF(0.0468=0,"",K45/0.0468)</f>
        <v>5445042.735042735</v>
      </c>
      <c r="C81" s="22">
        <f>B81+K52+K53+K54</f>
        <v>3059673.735042735</v>
      </c>
      <c r="D81" s="52">
        <f>IF(K57=0,"",C81/K57)</f>
        <v>25.191207948778466</v>
      </c>
    </row>
    <row r="82" spans="1:16" ht="15" customHeight="1" x14ac:dyDescent="0.2">
      <c r="A82" s="5" t="s">
        <v>645</v>
      </c>
      <c r="B82" s="22">
        <f>IF(0.0475=0,"",K45/0.0475)</f>
        <v>5364800</v>
      </c>
      <c r="C82" s="22">
        <f>B82+K52+K53+K54</f>
        <v>2979431</v>
      </c>
      <c r="D82" s="52">
        <f>IF(K57=0,"",C82/K57)</f>
        <v>24.530545538375407</v>
      </c>
    </row>
    <row r="83" spans="1:16" ht="15" customHeight="1" x14ac:dyDescent="0.2">
      <c r="A83" s="5" t="s">
        <v>646</v>
      </c>
      <c r="B83" s="22">
        <f>IF(0.05=0,"",K45/0.05)</f>
        <v>5096560</v>
      </c>
      <c r="C83" s="22">
        <f>B83+K52+K53+K54</f>
        <v>2711191</v>
      </c>
      <c r="D83" s="52">
        <f>IF(K57=0,"",C83/K57)</f>
        <v>22.322045480742315</v>
      </c>
    </row>
    <row r="84" spans="1:16" ht="15" customHeight="1" x14ac:dyDescent="0.2">
      <c r="A84" s="5" t="s">
        <v>647</v>
      </c>
      <c r="B84" s="22">
        <f>IF(0.0525=0,"",K45/0.0525)</f>
        <v>4853866.666666667</v>
      </c>
      <c r="C84" s="22">
        <f>B84+K52+K53+K54</f>
        <v>2468497.666666667</v>
      </c>
      <c r="D84" s="52">
        <f>IF(K57=0,"",C84/K57)</f>
        <v>20.323878761931425</v>
      </c>
    </row>
    <row r="85" spans="1:16" ht="15" customHeight="1" x14ac:dyDescent="0.2">
      <c r="A85" s="5" t="s">
        <v>648</v>
      </c>
      <c r="B85" s="22">
        <f>IF(0.055=0,"",K45/0.055)</f>
        <v>4633236.3636363633</v>
      </c>
      <c r="C85" s="22">
        <f>B85+K52+K53+K54</f>
        <v>2247867.3636363633</v>
      </c>
      <c r="D85" s="52">
        <f>IF(K57=0,"",C85/K57)</f>
        <v>18.507363563012426</v>
      </c>
    </row>
    <row r="87" spans="1:16" ht="15" customHeight="1" x14ac:dyDescent="0.2">
      <c r="A87" s="18" t="s">
        <v>649</v>
      </c>
    </row>
    <row r="88" spans="1:16" ht="15" customHeight="1" x14ac:dyDescent="0.2">
      <c r="A88" s="5" t="s">
        <v>650</v>
      </c>
    </row>
    <row r="90" spans="1:16" ht="15" customHeight="1" x14ac:dyDescent="0.2">
      <c r="A90" s="5" t="s">
        <v>651</v>
      </c>
      <c r="C90" s="47">
        <f t="shared" ref="C90:P90" si="18">IF(OR(B58=0,B58="-"),"",(C58-B58)/B58)</f>
        <v>-2.7010069773794446E-2</v>
      </c>
      <c r="D90" s="47">
        <f t="shared" si="18"/>
        <v>0.31054983825580007</v>
      </c>
      <c r="E90" s="47">
        <f t="shared" si="18"/>
        <v>0.26284178435146371</v>
      </c>
      <c r="F90" s="47">
        <f t="shared" si="18"/>
        <v>-0.11485087109562456</v>
      </c>
      <c r="G90" s="47">
        <f t="shared" si="18"/>
        <v>7.9026440365292744E-2</v>
      </c>
      <c r="H90" s="47">
        <f t="shared" si="18"/>
        <v>0.24652514972470344</v>
      </c>
      <c r="I90" s="47">
        <f t="shared" si="18"/>
        <v>3.3639553446670349E-2</v>
      </c>
      <c r="J90" s="47">
        <f t="shared" si="18"/>
        <v>0.20995449749794151</v>
      </c>
      <c r="K90" s="47">
        <f t="shared" si="18"/>
        <v>3.537222444765236E-2</v>
      </c>
      <c r="L90" s="47">
        <f t="shared" si="18"/>
        <v>-9.6876214121930329E-2</v>
      </c>
      <c r="M90" s="47">
        <f t="shared" si="18"/>
        <v>4.7650222948024436E-2</v>
      </c>
      <c r="N90" s="47">
        <f t="shared" si="18"/>
        <v>4.795471497145324E-2</v>
      </c>
      <c r="O90" s="47">
        <f t="shared" si="18"/>
        <v>4.836862674640547E-2</v>
      </c>
      <c r="P90" s="47">
        <f t="shared" si="18"/>
        <v>4.841437863315428E-2</v>
      </c>
    </row>
    <row r="91" spans="1:16" ht="15" customHeight="1" x14ac:dyDescent="0.2">
      <c r="A91" s="5" t="s">
        <v>652</v>
      </c>
      <c r="C91" s="47">
        <f t="shared" ref="C91:P91" si="19">IF(OR(B47=0,B58=0,B58="-"),"",(C45/B47-B45/B47)/C57/B58)</f>
        <v>0.20827445846443868</v>
      </c>
      <c r="D91" s="47">
        <f t="shared" si="19"/>
        <v>0.42842881622886475</v>
      </c>
      <c r="E91" s="47">
        <f t="shared" si="19"/>
        <v>0.27044715403082453</v>
      </c>
      <c r="F91" s="47">
        <f t="shared" si="19"/>
        <v>0.15313989615798634</v>
      </c>
      <c r="G91" s="47">
        <f t="shared" si="19"/>
        <v>0.24871257263619287</v>
      </c>
      <c r="H91" s="47">
        <f t="shared" si="19"/>
        <v>0.29452912285376925</v>
      </c>
      <c r="I91" s="47">
        <f t="shared" si="19"/>
        <v>0.17311014986949083</v>
      </c>
      <c r="J91" s="47">
        <f t="shared" si="19"/>
        <v>0.15019196737395485</v>
      </c>
      <c r="K91" s="47">
        <f t="shared" si="19"/>
        <v>0.105084948192851</v>
      </c>
      <c r="L91" s="47">
        <f t="shared" si="19"/>
        <v>4.9849621717716695E-2</v>
      </c>
      <c r="M91" s="47">
        <f t="shared" si="19"/>
        <v>5.2540409895548042E-2</v>
      </c>
      <c r="N91" s="47">
        <f t="shared" si="19"/>
        <v>5.1001173140607411E-2</v>
      </c>
      <c r="O91" s="47">
        <f t="shared" si="19"/>
        <v>4.9492645291375724E-2</v>
      </c>
      <c r="P91" s="47">
        <f t="shared" si="19"/>
        <v>4.8009774394057569E-2</v>
      </c>
    </row>
    <row r="92" spans="1:16" ht="15" customHeight="1" x14ac:dyDescent="0.2">
      <c r="A92" s="5" t="s">
        <v>653</v>
      </c>
      <c r="C92" s="47">
        <f t="shared" ref="C92:P92" si="20">IF(OR(C90="",C91=""),"",C90-C91)</f>
        <v>-0.23528452823823312</v>
      </c>
      <c r="D92" s="47">
        <f t="shared" si="20"/>
        <v>-0.11787897797306468</v>
      </c>
      <c r="E92" s="47">
        <f t="shared" si="20"/>
        <v>-7.6053696793608183E-3</v>
      </c>
      <c r="F92" s="47">
        <f t="shared" si="20"/>
        <v>-0.26799076725361093</v>
      </c>
      <c r="G92" s="47">
        <f t="shared" si="20"/>
        <v>-0.16968613227090013</v>
      </c>
      <c r="H92" s="47">
        <f t="shared" si="20"/>
        <v>-4.8003973129065819E-2</v>
      </c>
      <c r="I92" s="47">
        <f t="shared" si="20"/>
        <v>-0.13947059642282048</v>
      </c>
      <c r="J92" s="47">
        <f t="shared" si="20"/>
        <v>5.9762530123986662E-2</v>
      </c>
      <c r="K92" s="47">
        <f t="shared" si="20"/>
        <v>-6.9712723745198629E-2</v>
      </c>
      <c r="L92" s="47">
        <f t="shared" si="20"/>
        <v>-0.14672583583964702</v>
      </c>
      <c r="M92" s="47">
        <f t="shared" si="20"/>
        <v>-4.8901869475236059E-3</v>
      </c>
      <c r="N92" s="47">
        <f t="shared" si="20"/>
        <v>-3.0464581691541717E-3</v>
      </c>
      <c r="O92" s="47">
        <f t="shared" si="20"/>
        <v>-1.1240185449702539E-3</v>
      </c>
      <c r="P92" s="47">
        <f t="shared" si="20"/>
        <v>4.0460423909671056E-4</v>
      </c>
    </row>
    <row r="93" spans="1:16" ht="15" customHeight="1" x14ac:dyDescent="0.2">
      <c r="A93" s="5" t="s">
        <v>654</v>
      </c>
      <c r="C93" s="26">
        <f t="shared" ref="C93:P93" si="21">IF(OR(C47=0,B47=0),"",(C47-B47)*10000)</f>
        <v>-11.999999999999996</v>
      </c>
      <c r="D93" s="26">
        <f t="shared" si="21"/>
        <v>-51.999999999999964</v>
      </c>
      <c r="E93" s="26">
        <f t="shared" si="21"/>
        <v>-25.999999999999982</v>
      </c>
      <c r="F93" s="26">
        <f t="shared" si="21"/>
        <v>7.999999999999952</v>
      </c>
      <c r="G93" s="26">
        <f t="shared" si="21"/>
        <v>-25.999999999999982</v>
      </c>
      <c r="H93" s="26">
        <f t="shared" si="21"/>
        <v>-11.000000000000037</v>
      </c>
      <c r="I93" s="26">
        <f t="shared" si="21"/>
        <v>25.000000000000021</v>
      </c>
      <c r="J93" s="26">
        <f t="shared" si="21"/>
        <v>6.999999999999992</v>
      </c>
      <c r="K93" s="26">
        <f t="shared" si="21"/>
        <v>6.0000000000000329</v>
      </c>
      <c r="L93" s="26">
        <f t="shared" si="21"/>
        <v>32.000000000000014</v>
      </c>
      <c r="M93" s="26">
        <f t="shared" si="21"/>
        <v>0</v>
      </c>
      <c r="N93" s="26">
        <f t="shared" si="21"/>
        <v>0</v>
      </c>
      <c r="O93" s="26">
        <f t="shared" si="21"/>
        <v>0</v>
      </c>
      <c r="P93" s="26">
        <f t="shared" si="21"/>
        <v>0</v>
      </c>
    </row>
    <row r="94" spans="1:16" ht="15" customHeight="1" x14ac:dyDescent="0.2">
      <c r="A94" s="18" t="s">
        <v>655</v>
      </c>
    </row>
    <row r="95" spans="1:16" ht="15" customHeight="1" x14ac:dyDescent="0.2">
      <c r="A95" s="5" t="s">
        <v>656</v>
      </c>
      <c r="B95" s="16">
        <f t="shared" ref="B95:P95" si="22">B47</f>
        <v>5.4899999999999997E-2</v>
      </c>
      <c r="C95" s="16">
        <f t="shared" si="22"/>
        <v>5.3699999999999998E-2</v>
      </c>
      <c r="D95" s="16">
        <f t="shared" si="22"/>
        <v>4.8500000000000001E-2</v>
      </c>
      <c r="E95" s="16">
        <f t="shared" si="22"/>
        <v>4.5900000000000003E-2</v>
      </c>
      <c r="F95" s="16">
        <f t="shared" si="22"/>
        <v>4.6699999999999998E-2</v>
      </c>
      <c r="G95" s="16">
        <f t="shared" si="22"/>
        <v>4.41E-2</v>
      </c>
      <c r="H95" s="16">
        <f t="shared" si="22"/>
        <v>4.2999999999999997E-2</v>
      </c>
      <c r="I95" s="16">
        <f t="shared" si="22"/>
        <v>4.5499999999999999E-2</v>
      </c>
      <c r="J95" s="16">
        <f t="shared" si="22"/>
        <v>4.6199999999999998E-2</v>
      </c>
      <c r="K95" s="16">
        <f t="shared" si="22"/>
        <v>4.6800000000000001E-2</v>
      </c>
      <c r="L95" s="16">
        <f t="shared" si="22"/>
        <v>0.05</v>
      </c>
      <c r="M95" s="16">
        <f t="shared" si="22"/>
        <v>0.05</v>
      </c>
      <c r="N95" s="16">
        <f t="shared" si="22"/>
        <v>0.05</v>
      </c>
      <c r="O95" s="16">
        <f t="shared" si="22"/>
        <v>0.05</v>
      </c>
      <c r="P95" s="16">
        <f t="shared" si="22"/>
        <v>0.05</v>
      </c>
    </row>
    <row r="96" spans="1:16" ht="15" customHeight="1" x14ac:dyDescent="0.2">
      <c r="A96" s="5" t="s">
        <v>657</v>
      </c>
      <c r="B96" s="11">
        <f t="shared" ref="B96:K96" si="23">B8</f>
        <v>1942809</v>
      </c>
      <c r="C96" s="11">
        <f t="shared" si="23"/>
        <v>2279763</v>
      </c>
      <c r="D96" s="11">
        <f t="shared" si="23"/>
        <v>2799693</v>
      </c>
      <c r="E96" s="11">
        <f t="shared" si="23"/>
        <v>3320604</v>
      </c>
      <c r="F96" s="11">
        <f t="shared" si="23"/>
        <v>3741918</v>
      </c>
      <c r="G96" s="11">
        <f t="shared" si="23"/>
        <v>4540877</v>
      </c>
      <c r="H96" s="11">
        <f t="shared" si="23"/>
        <v>4812801</v>
      </c>
      <c r="I96" s="11">
        <f t="shared" si="23"/>
        <v>5027806</v>
      </c>
      <c r="J96" s="11">
        <f t="shared" si="23"/>
        <v>5384720</v>
      </c>
      <c r="K96" s="11">
        <f t="shared" si="23"/>
        <v>5449016</v>
      </c>
      <c r="L96" s="22">
        <f>(Assumptions!B114+Assumptions!B112+Assumptions!B113)/Assumptions!B90</f>
        <v>5603665.8031517109</v>
      </c>
      <c r="M96" s="22">
        <f>(Assumptions!C114+Assumptions!C112+Assumptions!C113)/Assumptions!C90</f>
        <v>5766909.7909933534</v>
      </c>
      <c r="N96" s="22">
        <f>(Assumptions!D114+Assumptions!D112+Assumptions!D113)/Assumptions!D90</f>
        <v>5934909.3117363229</v>
      </c>
      <c r="O96" s="22">
        <f>(Assumptions!E114+Assumptions!E112+Assumptions!E113)/Assumptions!E90</f>
        <v>6107802.8999726288</v>
      </c>
      <c r="P96" s="22">
        <f>(Assumptions!F114+Assumptions!F112+Assumptions!F113)/Assumptions!F90</f>
        <v>6285733.1259520631</v>
      </c>
    </row>
    <row r="97" spans="1:16" ht="15" customHeight="1" x14ac:dyDescent="0.2">
      <c r="A97" s="5" t="s">
        <v>658</v>
      </c>
      <c r="B97" s="11">
        <f t="shared" ref="B97:K97" si="24">B37</f>
        <v>750450</v>
      </c>
      <c r="C97" s="11">
        <f t="shared" si="24"/>
        <v>967722</v>
      </c>
      <c r="D97" s="11">
        <f t="shared" si="24"/>
        <v>1168814</v>
      </c>
      <c r="E97" s="11">
        <f t="shared" si="24"/>
        <v>1602254</v>
      </c>
      <c r="F97" s="11">
        <f t="shared" si="24"/>
        <v>1768129</v>
      </c>
      <c r="G97" s="11">
        <f t="shared" si="24"/>
        <v>2111327</v>
      </c>
      <c r="H97" s="11">
        <f t="shared" si="24"/>
        <v>2273169</v>
      </c>
      <c r="I97" s="11">
        <f t="shared" si="24"/>
        <v>2482600</v>
      </c>
      <c r="J97" s="11">
        <f t="shared" si="24"/>
        <v>3089952</v>
      </c>
      <c r="K97" s="11">
        <f t="shared" si="24"/>
        <v>3063647</v>
      </c>
      <c r="L97" s="22">
        <f>L96+L9+L12+L14+L15-L20-L21-L25-L26-L27-L28-L29</f>
        <v>3232402.9743672311</v>
      </c>
      <c r="M97" s="22">
        <f>M96+M9+M12+M14+M15-M20-M21-M25-M26-M27-M28-M29</f>
        <v>3415825.7552522463</v>
      </c>
      <c r="N97" s="22">
        <f>N96+N9+N12+N14+N15-N20-N21-N25-N26-N27-N28-N29</f>
        <v>3610903.2631114679</v>
      </c>
      <c r="O97" s="22">
        <f>O96+O9+O12+O14+O15-O20-O21-O25-O26-O27-O28-O29</f>
        <v>3818798.9249884686</v>
      </c>
      <c r="P97" s="22">
        <f>P96+P9+P12+P14+P15-P20-P21-P25-P26-P27-P28-P29</f>
        <v>4039166.1732164933</v>
      </c>
    </row>
    <row r="98" spans="1:16" ht="15" customHeight="1" x14ac:dyDescent="0.2">
      <c r="A98" s="7" t="s">
        <v>20</v>
      </c>
      <c r="B98" s="19">
        <f t="shared" ref="B98:K98" si="25">B59</f>
        <v>10.461274673803947</v>
      </c>
      <c r="C98" s="19">
        <f t="shared" si="25"/>
        <v>11.462097882219169</v>
      </c>
      <c r="D98" s="19">
        <f t="shared" si="25"/>
        <v>12.956159311850842</v>
      </c>
      <c r="E98" s="19">
        <f t="shared" si="25"/>
        <v>16.35821047902969</v>
      </c>
      <c r="F98" s="19">
        <f t="shared" si="25"/>
        <v>16.476219319007772</v>
      </c>
      <c r="G98" s="19">
        <f t="shared" si="25"/>
        <v>19.097180639850937</v>
      </c>
      <c r="H98" s="19">
        <f t="shared" si="25"/>
        <v>19.461896730336214</v>
      </c>
      <c r="I98" s="19">
        <f t="shared" si="25"/>
        <v>20.985984547498688</v>
      </c>
      <c r="J98" s="19">
        <f t="shared" si="25"/>
        <v>25.831183487849124</v>
      </c>
      <c r="K98" s="19">
        <f t="shared" si="25"/>
        <v>25.223921026198358</v>
      </c>
      <c r="L98" s="14">
        <f>IF(L57=0,"",L97/L57)</f>
        <v>25.589983854944748</v>
      </c>
      <c r="M98" s="14">
        <f>IF(M57=0,"",M97/M57)</f>
        <v>26.722211358213848</v>
      </c>
      <c r="N98" s="14">
        <f>IF(N57=0,"",N97/N57)</f>
        <v>27.914169509193265</v>
      </c>
      <c r="O98" s="14">
        <f>IF(O57=0,"",O97/O57)</f>
        <v>29.172108561928404</v>
      </c>
      <c r="P98" s="14">
        <f>IF(P57=0,"",P97/P57)</f>
        <v>30.490526370528748</v>
      </c>
    </row>
    <row r="99" spans="1:16" ht="15" customHeight="1" x14ac:dyDescent="0.2">
      <c r="A99" s="7" t="s">
        <v>659</v>
      </c>
      <c r="B99" s="19">
        <f t="shared" ref="B99:P99" si="26">B58</f>
        <v>10.147379822961467</v>
      </c>
      <c r="C99" s="19">
        <f t="shared" si="26"/>
        <v>9.8732983859220838</v>
      </c>
      <c r="D99" s="19">
        <f t="shared" si="26"/>
        <v>12.939449602721439</v>
      </c>
      <c r="E99" s="19">
        <f t="shared" si="26"/>
        <v>16.34047762482658</v>
      </c>
      <c r="F99" s="19">
        <f t="shared" si="26"/>
        <v>14.463759535496685</v>
      </c>
      <c r="G99" s="19">
        <f t="shared" si="26"/>
        <v>15.606778965886548</v>
      </c>
      <c r="H99" s="19">
        <f t="shared" si="26"/>
        <v>19.454242487172081</v>
      </c>
      <c r="I99" s="19">
        <f t="shared" si="26"/>
        <v>20.108674517083791</v>
      </c>
      <c r="J99" s="19">
        <f t="shared" si="26"/>
        <v>24.330581170667781</v>
      </c>
      <c r="K99" s="19">
        <f t="shared" si="26"/>
        <v>25.191207948778466</v>
      </c>
      <c r="L99" s="19">
        <f t="shared" si="26"/>
        <v>22.75077909354253</v>
      </c>
      <c r="M99" s="19">
        <f t="shared" si="26"/>
        <v>23.834858789591085</v>
      </c>
      <c r="N99" s="19">
        <f t="shared" si="26"/>
        <v>24.977852649230762</v>
      </c>
      <c r="O99" s="19">
        <f t="shared" si="26"/>
        <v>26.18599708094812</v>
      </c>
      <c r="P99" s="19">
        <f t="shared" si="26"/>
        <v>27.453775858511815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1"/>
  <sheetViews>
    <sheetView showGridLines="0" topLeftCell="A82" zoomScaleNormal="100" workbookViewId="0">
      <selection activeCell="P55" sqref="P55"/>
    </sheetView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16" ht="15" customHeight="1" x14ac:dyDescent="0.2">
      <c r="A1" s="7" t="s">
        <v>233</v>
      </c>
    </row>
    <row r="2" spans="1:16" ht="15" customHeight="1" x14ac:dyDescent="0.2">
      <c r="A2" s="7" t="s">
        <v>660</v>
      </c>
    </row>
    <row r="3" spans="1:16" ht="15" customHeight="1" x14ac:dyDescent="0.2"/>
    <row r="4" spans="1:16" ht="15" customHeight="1" x14ac:dyDescent="0.2"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</row>
    <row r="5" spans="1:16" ht="15" customHeight="1" x14ac:dyDescent="0.2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15" customHeight="1" x14ac:dyDescent="0.2">
      <c r="A6" s="18" t="s">
        <v>26</v>
      </c>
    </row>
    <row r="7" spans="1:16" ht="15" customHeight="1" x14ac:dyDescent="0.2">
      <c r="A7" s="18"/>
    </row>
    <row r="8" spans="1:16" ht="15" customHeight="1" x14ac:dyDescent="0.2">
      <c r="A8" s="5" t="s">
        <v>445</v>
      </c>
      <c r="B8" s="11">
        <f>IS!B8</f>
        <v>175269</v>
      </c>
      <c r="C8" s="11">
        <f>IS!C8</f>
        <v>187377</v>
      </c>
      <c r="D8" s="11">
        <f>IS!D8</f>
        <v>215959</v>
      </c>
      <c r="E8" s="11">
        <f>IS!E8</f>
        <v>241749</v>
      </c>
      <c r="F8" s="11">
        <f>IS!F8</f>
        <v>261690</v>
      </c>
      <c r="G8" s="11">
        <f>IS!G8</f>
        <v>290917</v>
      </c>
      <c r="H8" s="11">
        <f>IS!H8</f>
        <v>328847</v>
      </c>
      <c r="I8" s="11">
        <f>IS!I8</f>
        <v>348150</v>
      </c>
      <c r="J8" s="11">
        <f>IS!J8</f>
        <v>364650</v>
      </c>
      <c r="K8" s="11">
        <f>IS!K8</f>
        <v>383401</v>
      </c>
      <c r="L8" s="11">
        <f>IS!L8</f>
        <v>394570.10296124098</v>
      </c>
      <c r="M8" s="11">
        <f>IS!M8</f>
        <v>406064.5780697054</v>
      </c>
      <c r="N8" s="11">
        <f>IS!N8</f>
        <v>417893.90382280614</v>
      </c>
      <c r="O8" s="11">
        <f>IS!O8</f>
        <v>430067.83483656665</v>
      </c>
      <c r="P8" s="11">
        <f>IS!P8</f>
        <v>442596.40988919302</v>
      </c>
    </row>
    <row r="9" spans="1:16" ht="15" customHeight="1" x14ac:dyDescent="0.2">
      <c r="A9" s="5" t="s">
        <v>661</v>
      </c>
      <c r="B9" s="11">
        <f>IS!B16</f>
        <v>-69845</v>
      </c>
      <c r="C9" s="11">
        <f>IS!C16</f>
        <v>-72157</v>
      </c>
      <c r="D9" s="11">
        <f>IS!D16</f>
        <v>-80247</v>
      </c>
      <c r="E9" s="11">
        <f>IS!E16</f>
        <v>-89413</v>
      </c>
      <c r="F9" s="11">
        <f>IS!F16</f>
        <v>-97028</v>
      </c>
      <c r="G9" s="11">
        <f>IS!G16</f>
        <v>-107682</v>
      </c>
      <c r="H9" s="11">
        <f>IS!H16</f>
        <v>-121935</v>
      </c>
      <c r="I9" s="11">
        <f>IS!I16</f>
        <v>-124107</v>
      </c>
      <c r="J9" s="11">
        <f>IS!J16</f>
        <v>-124169</v>
      </c>
      <c r="K9" s="11">
        <f>IS!K16</f>
        <v>-128573</v>
      </c>
      <c r="L9" s="11">
        <f>IS!L16</f>
        <v>-132318.54337374092</v>
      </c>
      <c r="M9" s="11">
        <f>IS!M16</f>
        <v>-136173.19985121646</v>
      </c>
      <c r="N9" s="11">
        <f>IS!N16</f>
        <v>-140140.14803354623</v>
      </c>
      <c r="O9" s="11">
        <f>IS!O16</f>
        <v>-144222.65911784762</v>
      </c>
      <c r="P9" s="11">
        <f>IS!P16</f>
        <v>-148424.09959463647</v>
      </c>
    </row>
    <row r="10" spans="1:16" ht="15" customHeight="1" x14ac:dyDescent="0.2">
      <c r="A10" s="7" t="s">
        <v>453</v>
      </c>
      <c r="B10" s="11">
        <f>IS!B18</f>
        <v>105424</v>
      </c>
      <c r="C10" s="11">
        <f>IS!C18</f>
        <v>115220</v>
      </c>
      <c r="D10" s="11">
        <f>IS!D18</f>
        <v>135712</v>
      </c>
      <c r="E10" s="11">
        <f>IS!E18</f>
        <v>152336</v>
      </c>
      <c r="F10" s="11">
        <f>IS!F18</f>
        <v>164662</v>
      </c>
      <c r="G10" s="11">
        <f>IS!G18</f>
        <v>183235</v>
      </c>
      <c r="H10" s="11">
        <f>IS!H18</f>
        <v>206912</v>
      </c>
      <c r="I10" s="11">
        <f>IS!I18</f>
        <v>224043</v>
      </c>
      <c r="J10" s="11">
        <f>IS!J18</f>
        <v>240481</v>
      </c>
      <c r="K10" s="11">
        <f>IS!K18</f>
        <v>254828</v>
      </c>
      <c r="L10" s="11">
        <f>IS!L18</f>
        <v>262251.55958750006</v>
      </c>
      <c r="M10" s="11">
        <f>IS!M18</f>
        <v>269891.37821848894</v>
      </c>
      <c r="N10" s="11">
        <f>IS!N18</f>
        <v>277753.75578925991</v>
      </c>
      <c r="O10" s="11">
        <f>IS!O18</f>
        <v>285845.17571871902</v>
      </c>
      <c r="P10" s="11">
        <f>IS!P18</f>
        <v>294172.31029455655</v>
      </c>
    </row>
    <row r="11" spans="1:16" ht="15" customHeight="1" x14ac:dyDescent="0.2">
      <c r="A11" s="5" t="s">
        <v>662</v>
      </c>
      <c r="B11" s="11">
        <f>IS!B22</f>
        <v>-12733</v>
      </c>
      <c r="C11" s="11">
        <f>IS!C22</f>
        <v>-12958</v>
      </c>
      <c r="D11" s="11">
        <f>IS!D22</f>
        <v>-14201</v>
      </c>
      <c r="E11" s="11">
        <f>IS!E22</f>
        <v>-14881</v>
      </c>
      <c r="F11" s="11">
        <f>IS!F22</f>
        <v>-14745</v>
      </c>
      <c r="G11" s="11">
        <f>IS!G22</f>
        <v>-15988</v>
      </c>
      <c r="H11" s="11">
        <f>IS!H22</f>
        <v>-17153</v>
      </c>
      <c r="I11" s="11">
        <f>IS!I22</f>
        <v>-19302</v>
      </c>
      <c r="J11" s="11">
        <f>IS!J22</f>
        <v>-20282</v>
      </c>
      <c r="K11" s="11">
        <f>IS!K22</f>
        <v>-21737</v>
      </c>
      <c r="L11" s="11">
        <f>IS!L22</f>
        <v>-21701.355662868253</v>
      </c>
      <c r="M11" s="11">
        <f>IS!M22</f>
        <v>-21927.487215764093</v>
      </c>
      <c r="N11" s="11">
        <f>IS!N22</f>
        <v>-22148.376902608725</v>
      </c>
      <c r="O11" s="11">
        <f>IS!O22</f>
        <v>-22793.595246338031</v>
      </c>
      <c r="P11" s="11">
        <f>IS!P22</f>
        <v>-23457.609724127229</v>
      </c>
    </row>
    <row r="12" spans="1:16" ht="15" customHeight="1" x14ac:dyDescent="0.2">
      <c r="A12" s="5" t="s">
        <v>33</v>
      </c>
      <c r="B12" s="11">
        <f>IS!B29</f>
        <v>-37698</v>
      </c>
      <c r="C12" s="11">
        <f>IS!C29</f>
        <v>-34845</v>
      </c>
      <c r="D12" s="11">
        <f>IS!D29</f>
        <v>-42648</v>
      </c>
      <c r="E12" s="11">
        <f>IS!E29</f>
        <v>-47443</v>
      </c>
      <c r="F12" s="11">
        <f>IS!F29</f>
        <v>-48919</v>
      </c>
      <c r="G12" s="11">
        <f>IS!G29</f>
        <v>-51521</v>
      </c>
      <c r="H12" s="11">
        <f>IS!H29</f>
        <v>-61499</v>
      </c>
      <c r="I12" s="11">
        <f>IS!I29</f>
        <v>-69398</v>
      </c>
      <c r="J12" s="11">
        <f>IS!J29</f>
        <v>-79712</v>
      </c>
      <c r="K12" s="11">
        <f>IS!K29</f>
        <v>-84451</v>
      </c>
      <c r="L12" s="11">
        <f>IS!L29</f>
        <v>-86391.615109111648</v>
      </c>
      <c r="M12" s="11">
        <f>IS!M29</f>
        <v>-86483.348439312584</v>
      </c>
      <c r="N12" s="11">
        <f>IS!N29</f>
        <v>-86430.90955906063</v>
      </c>
      <c r="O12" s="11">
        <f>IS!O29</f>
        <v>-85148.778626389379</v>
      </c>
      <c r="P12" s="11">
        <f>IS!P29</f>
        <v>-84563.076941474006</v>
      </c>
    </row>
    <row r="13" spans="1:16" ht="15" customHeight="1" x14ac:dyDescent="0.2">
      <c r="A13" s="7" t="s">
        <v>499</v>
      </c>
      <c r="B13" s="11">
        <f>IS!B50</f>
        <v>58886</v>
      </c>
      <c r="C13" s="11">
        <f>IS!C50</f>
        <v>69873</v>
      </c>
      <c r="D13" s="11">
        <f>IS!D50</f>
        <v>81808</v>
      </c>
      <c r="E13" s="11">
        <f>IS!E50</f>
        <v>93884</v>
      </c>
      <c r="F13" s="11">
        <f>IS!F50</f>
        <v>104678</v>
      </c>
      <c r="G13" s="11">
        <f>IS!G50</f>
        <v>119235</v>
      </c>
      <c r="H13" s="11">
        <f>IS!H50</f>
        <v>132603</v>
      </c>
      <c r="I13" s="11">
        <f>IS!I50</f>
        <v>139755</v>
      </c>
      <c r="J13" s="11">
        <f>IS!J50</f>
        <v>144914</v>
      </c>
      <c r="K13" s="11">
        <f>IS!K50</f>
        <v>152776</v>
      </c>
      <c r="L13" s="11">
        <f>IS!L50</f>
        <v>154732.58881552017</v>
      </c>
      <c r="M13" s="11">
        <f>IS!M50</f>
        <v>162054.54256341228</v>
      </c>
      <c r="N13" s="11">
        <f>IS!N50</f>
        <v>169748.46932759054</v>
      </c>
      <c r="O13" s="11">
        <f>IS!O50</f>
        <v>178476.80184599158</v>
      </c>
      <c r="P13" s="11">
        <f>IS!P50</f>
        <v>186725.62362895533</v>
      </c>
    </row>
    <row r="14" spans="1:16" ht="15" customHeight="1" x14ac:dyDescent="0.2">
      <c r="A14" s="5" t="s">
        <v>663</v>
      </c>
      <c r="B14" s="11">
        <f>IS!B93</f>
        <v>52347</v>
      </c>
      <c r="C14" s="11">
        <f>IS!C93</f>
        <v>55982</v>
      </c>
      <c r="D14" s="11">
        <f>IS!D93</f>
        <v>66275</v>
      </c>
      <c r="E14" s="11">
        <f>IS!E93</f>
        <v>76768</v>
      </c>
      <c r="F14" s="11">
        <f>IS!F93</f>
        <v>86816</v>
      </c>
      <c r="G14" s="11">
        <f>IS!G93</f>
        <v>100438</v>
      </c>
      <c r="H14" s="11">
        <f>IS!H93</f>
        <v>111557</v>
      </c>
      <c r="I14" s="11">
        <f>IS!I93</f>
        <v>117800</v>
      </c>
      <c r="J14" s="11">
        <f>IS!J93</f>
        <v>121728</v>
      </c>
      <c r="K14" s="11">
        <f>IS!K93</f>
        <v>129882</v>
      </c>
      <c r="L14" s="11">
        <f>IS!L93</f>
        <v>131852.73881552016</v>
      </c>
      <c r="M14" s="11">
        <f>IS!M93</f>
        <v>139174.69256341227</v>
      </c>
      <c r="N14" s="11">
        <f>IS!N93</f>
        <v>146868.61932759054</v>
      </c>
      <c r="O14" s="11">
        <f>IS!O93</f>
        <v>155596.95184599157</v>
      </c>
      <c r="P14" s="11">
        <f>IS!P93</f>
        <v>163845.77362895533</v>
      </c>
    </row>
    <row r="15" spans="1:16" ht="15" customHeight="1" x14ac:dyDescent="0.2">
      <c r="A15" s="5" t="s">
        <v>40</v>
      </c>
      <c r="B15" s="11">
        <f>IS!B62</f>
        <v>39179.4</v>
      </c>
      <c r="C15" s="11">
        <f>IS!C62</f>
        <v>50134</v>
      </c>
      <c r="D15" s="11">
        <f>IS!D62</f>
        <v>58506.2</v>
      </c>
      <c r="E15" s="11">
        <f>IS!E62</f>
        <v>67161.600000000006</v>
      </c>
      <c r="F15" s="11">
        <f>IS!F62</f>
        <v>76298.7</v>
      </c>
      <c r="G15" s="11">
        <f>IS!G62</f>
        <v>88240.75</v>
      </c>
      <c r="H15" s="11">
        <f>IS!H62</f>
        <v>97223.2</v>
      </c>
      <c r="I15" s="11">
        <f>IS!I62</f>
        <v>101736.55</v>
      </c>
      <c r="J15" s="11">
        <f>IS!J62</f>
        <v>98510.85</v>
      </c>
      <c r="K15" s="11">
        <f>IS!K62</f>
        <v>109949.8</v>
      </c>
      <c r="L15" s="11">
        <f>IS!L62</f>
        <v>114820.85487739516</v>
      </c>
      <c r="M15" s="11">
        <f>IS!M62</f>
        <v>120996.83583063894</v>
      </c>
      <c r="N15" s="11">
        <f>IS!N62</f>
        <v>127511.40595920157</v>
      </c>
      <c r="O15" s="11">
        <f>IS!O62</f>
        <v>135026.02548818372</v>
      </c>
      <c r="P15" s="11">
        <f>IS!P62</f>
        <v>142025.77708477186</v>
      </c>
    </row>
    <row r="16" spans="1:16" ht="15" customHeight="1" x14ac:dyDescent="0.2">
      <c r="A16" s="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5" customHeight="1" x14ac:dyDescent="0.2">
      <c r="A17" s="18" t="s">
        <v>664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5" customHeight="1" x14ac:dyDescent="0.2">
      <c r="A18" s="18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5" customHeight="1" x14ac:dyDescent="0.2">
      <c r="A19" s="5" t="s">
        <v>54</v>
      </c>
      <c r="B19" s="11">
        <f>CFS!B20</f>
        <v>63584</v>
      </c>
      <c r="C19" s="11">
        <f>CFS!C20</f>
        <v>82916</v>
      </c>
      <c r="D19" s="11">
        <f>CFS!D20</f>
        <v>89738</v>
      </c>
      <c r="E19" s="11">
        <f>CFS!E20</f>
        <v>95208</v>
      </c>
      <c r="F19" s="11">
        <f>CFS!F20</f>
        <v>123514</v>
      </c>
      <c r="G19" s="11">
        <f>CFS!G20</f>
        <v>140860</v>
      </c>
      <c r="H19" s="11">
        <f>CFS!H20</f>
        <v>125331</v>
      </c>
      <c r="I19" s="11">
        <f>CFS!I20</f>
        <v>139734</v>
      </c>
      <c r="J19" s="11">
        <f>CFS!J20</f>
        <v>160140</v>
      </c>
      <c r="K19" s="11">
        <f>CFS!K20</f>
        <v>145940</v>
      </c>
      <c r="L19" s="11">
        <f>CFS!L20</f>
        <v>161858.58881552017</v>
      </c>
      <c r="M19" s="11">
        <f>CFS!M20</f>
        <v>169180.54256341228</v>
      </c>
      <c r="N19" s="11">
        <f>CFS!N20</f>
        <v>176874.46932759054</v>
      </c>
      <c r="O19" s="11">
        <f>CFS!O20</f>
        <v>185602.80184599158</v>
      </c>
      <c r="P19" s="11">
        <f>CFS!P20</f>
        <v>193851.62362895533</v>
      </c>
    </row>
    <row r="20" spans="1:16" ht="15" customHeight="1" x14ac:dyDescent="0.2">
      <c r="A20" s="5" t="s">
        <v>55</v>
      </c>
      <c r="B20" s="11">
        <f>CFS!B24</f>
        <v>-33460</v>
      </c>
      <c r="C20" s="11">
        <f>CFS!C24</f>
        <v>-31172</v>
      </c>
      <c r="D20" s="11">
        <f>CFS!D24</f>
        <v>-47814</v>
      </c>
      <c r="E20" s="11">
        <f>CFS!E24</f>
        <v>-73419</v>
      </c>
      <c r="F20" s="11">
        <f>CFS!F24</f>
        <v>-69651</v>
      </c>
      <c r="G20" s="11">
        <f>CFS!G24</f>
        <v>-76812</v>
      </c>
      <c r="H20" s="11">
        <f>CFS!H24</f>
        <v>-93920</v>
      </c>
      <c r="I20" s="11">
        <f>CFS!I24</f>
        <v>-98386</v>
      </c>
      <c r="J20" s="11">
        <f>CFS!J24</f>
        <v>-93908</v>
      </c>
      <c r="K20" s="11">
        <f>CFS!K24</f>
        <v>-79608</v>
      </c>
      <c r="L20" s="11">
        <f>CFS!L24</f>
        <v>-82610.5</v>
      </c>
      <c r="M20" s="11">
        <f>CFS!M24</f>
        <v>-82610.5</v>
      </c>
      <c r="N20" s="11">
        <f>CFS!N24</f>
        <v>-82610.5</v>
      </c>
      <c r="O20" s="11">
        <f>CFS!O24</f>
        <v>-82610.5</v>
      </c>
      <c r="P20" s="11">
        <f>CFS!P24</f>
        <v>-82610.5</v>
      </c>
    </row>
    <row r="21" spans="1:16" ht="15" customHeight="1" x14ac:dyDescent="0.2">
      <c r="A21" s="7" t="s">
        <v>56</v>
      </c>
      <c r="B21" s="11">
        <f>CFS!B53</f>
        <v>30124</v>
      </c>
      <c r="C21" s="11">
        <f>CFS!C53</f>
        <v>51744</v>
      </c>
      <c r="D21" s="11">
        <f>CFS!D53</f>
        <v>41924</v>
      </c>
      <c r="E21" s="11">
        <f>CFS!E53</f>
        <v>21789</v>
      </c>
      <c r="F21" s="11">
        <f>CFS!F53</f>
        <v>53863</v>
      </c>
      <c r="G21" s="11">
        <f>CFS!G53</f>
        <v>64048</v>
      </c>
      <c r="H21" s="11">
        <f>CFS!H53</f>
        <v>31411</v>
      </c>
      <c r="I21" s="11">
        <f>CFS!I53</f>
        <v>41348</v>
      </c>
      <c r="J21" s="11">
        <f>CFS!J53</f>
        <v>66232</v>
      </c>
      <c r="K21" s="11">
        <f>CFS!K53</f>
        <v>66332</v>
      </c>
      <c r="L21" s="11">
        <f>CFS!L53</f>
        <v>79248.088815520168</v>
      </c>
      <c r="M21" s="11">
        <f>CFS!M53</f>
        <v>86570.04256341228</v>
      </c>
      <c r="N21" s="11">
        <f>CFS!N53</f>
        <v>94263.969327590545</v>
      </c>
      <c r="O21" s="11">
        <f>CFS!O53</f>
        <v>102992.30184599158</v>
      </c>
      <c r="P21" s="11">
        <f>CFS!P53</f>
        <v>111241.12362895533</v>
      </c>
    </row>
    <row r="22" spans="1:16" ht="15" customHeight="1" x14ac:dyDescent="0.2">
      <c r="A22" s="5" t="s">
        <v>665</v>
      </c>
      <c r="B22" s="11">
        <f>CFS!B63</f>
        <v>41101</v>
      </c>
      <c r="C22" s="11">
        <f>CFS!C63</f>
        <v>48832</v>
      </c>
      <c r="D22" s="11">
        <f>CFS!D63</f>
        <v>56321</v>
      </c>
      <c r="E22" s="11">
        <f>CFS!E63</f>
        <v>63805</v>
      </c>
      <c r="F22" s="11">
        <f>CFS!F63</f>
        <v>71731</v>
      </c>
      <c r="G22" s="11">
        <f>CFS!G63</f>
        <v>77925</v>
      </c>
      <c r="H22" s="11">
        <f>CFS!H63</f>
        <v>84722</v>
      </c>
      <c r="I22" s="11">
        <f>CFS!I63</f>
        <v>86114</v>
      </c>
      <c r="J22" s="11">
        <f>CFS!J63</f>
        <v>87510</v>
      </c>
      <c r="K22" s="11">
        <f>CFS!K63</f>
        <v>90676</v>
      </c>
      <c r="L22" s="11">
        <f>CFS!L63</f>
        <v>90409.018575369453</v>
      </c>
      <c r="M22" s="11">
        <f>CFS!M63</f>
        <v>91491.254610532749</v>
      </c>
      <c r="N22" s="11">
        <f>CFS!N63</f>
        <v>92586.445490846032</v>
      </c>
      <c r="O22" s="11">
        <f>CFS!O63</f>
        <v>93694.746291549251</v>
      </c>
      <c r="P22" s="11">
        <f>CFS!P63</f>
        <v>94816.313944201785</v>
      </c>
    </row>
    <row r="23" spans="1:16" ht="15" customHeight="1" x14ac:dyDescent="0.2">
      <c r="A23" s="7" t="s">
        <v>666</v>
      </c>
      <c r="B23" s="11">
        <f>CFS!B58</f>
        <v>-1391</v>
      </c>
      <c r="C23" s="11">
        <f>CFS!C58</f>
        <v>15033</v>
      </c>
      <c r="D23" s="11">
        <f>CFS!D58</f>
        <v>306</v>
      </c>
      <c r="E23" s="11">
        <f>CFS!E58</f>
        <v>-23252</v>
      </c>
      <c r="F23" s="11">
        <f>CFS!F58</f>
        <v>4230</v>
      </c>
      <c r="G23" s="11">
        <f>CFS!G58</f>
        <v>12593</v>
      </c>
      <c r="H23" s="11">
        <f>CFS!H58</f>
        <v>-27683</v>
      </c>
      <c r="I23" s="11">
        <f>CFS!I58</f>
        <v>-15849</v>
      </c>
      <c r="J23" s="11">
        <f>CFS!J58</f>
        <v>5745</v>
      </c>
      <c r="K23" s="11">
        <f>CFS!K58</f>
        <v>3226</v>
      </c>
      <c r="L23" s="11">
        <f>CFS!L58</f>
        <v>13642.171215520168</v>
      </c>
      <c r="M23" s="11">
        <f>CFS!M58</f>
        <v>20178.793043372876</v>
      </c>
      <c r="N23" s="11">
        <f>CFS!N58</f>
        <v>27077.987116252145</v>
      </c>
      <c r="O23" s="11">
        <f>CFS!O58</f>
        <v>35002.073640694798</v>
      </c>
      <c r="P23" s="11">
        <f>CFS!P58</f>
        <v>42437.02224859022</v>
      </c>
    </row>
    <row r="24" spans="1:16" ht="15" customHeight="1" x14ac:dyDescent="0.2">
      <c r="A24" s="7"/>
      <c r="B24" s="19"/>
      <c r="C24" s="57"/>
      <c r="D24" s="57"/>
      <c r="E24" s="57"/>
      <c r="F24" s="57"/>
      <c r="G24" s="57"/>
      <c r="H24" s="57"/>
      <c r="I24" s="57"/>
      <c r="J24" s="57"/>
      <c r="K24" s="57"/>
      <c r="L24" s="19"/>
      <c r="M24" s="19"/>
      <c r="N24" s="19"/>
      <c r="O24" s="19"/>
      <c r="P24" s="19"/>
    </row>
    <row r="25" spans="1:16" ht="15" customHeight="1" x14ac:dyDescent="0.2">
      <c r="A25" s="18" t="s">
        <v>667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19"/>
      <c r="M25" s="19"/>
      <c r="N25" s="19"/>
      <c r="O25" s="19"/>
      <c r="P25" s="19"/>
    </row>
    <row r="26" spans="1:16" ht="15" customHeight="1" x14ac:dyDescent="0.2">
      <c r="A26" s="5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19"/>
      <c r="M26" s="19"/>
      <c r="N26" s="19"/>
      <c r="O26" s="19"/>
      <c r="P26" s="19"/>
    </row>
    <row r="27" spans="1:16" ht="15" customHeight="1" x14ac:dyDescent="0.2">
      <c r="A27" s="5" t="s">
        <v>61</v>
      </c>
      <c r="B27" s="11">
        <f>BS!B8</f>
        <v>1942809</v>
      </c>
      <c r="C27" s="11">
        <f>BS!C8</f>
        <v>2279763</v>
      </c>
      <c r="D27" s="11">
        <f>BS!D8</f>
        <v>2799693</v>
      </c>
      <c r="E27" s="11">
        <f>BS!E8</f>
        <v>3320604</v>
      </c>
      <c r="F27" s="11">
        <f>BS!F8</f>
        <v>3741918</v>
      </c>
      <c r="G27" s="11">
        <f>BS!G8</f>
        <v>4540877</v>
      </c>
      <c r="H27" s="11">
        <f>BS!H8</f>
        <v>4812801</v>
      </c>
      <c r="I27" s="11">
        <f>BS!I8</f>
        <v>5027806</v>
      </c>
      <c r="J27" s="11">
        <f>BS!J8</f>
        <v>5384720</v>
      </c>
      <c r="K27" s="11">
        <f>BS!K8</f>
        <v>5449016</v>
      </c>
      <c r="L27" s="11">
        <f>BS!L8</f>
        <v>5245031.1917500012</v>
      </c>
      <c r="M27" s="11">
        <f>BS!M8</f>
        <v>5397827.5643697781</v>
      </c>
      <c r="N27" s="11">
        <f>BS!N8</f>
        <v>5555075.1157851983</v>
      </c>
      <c r="O27" s="11">
        <f>BS!O8</f>
        <v>5716903.51437438</v>
      </c>
      <c r="P27" s="11">
        <f>BS!P8</f>
        <v>5883446.2058911305</v>
      </c>
    </row>
    <row r="28" spans="1:16" ht="15" customHeight="1" x14ac:dyDescent="0.2">
      <c r="A28" s="5" t="s">
        <v>62</v>
      </c>
      <c r="B28" s="11">
        <f>BS!B17</f>
        <v>1987633</v>
      </c>
      <c r="C28" s="11">
        <f>BS!C17</f>
        <v>2311210</v>
      </c>
      <c r="D28" s="11">
        <f>BS!D17</f>
        <v>2824406</v>
      </c>
      <c r="E28" s="11">
        <f>BS!E17</f>
        <v>3380100</v>
      </c>
      <c r="F28" s="11">
        <f>BS!F17</f>
        <v>3776560</v>
      </c>
      <c r="G28" s="11">
        <f>BS!G17</f>
        <v>4578507</v>
      </c>
      <c r="H28" s="11">
        <f>BS!H17</f>
        <v>4859530</v>
      </c>
      <c r="I28" s="11">
        <f>BS!I17</f>
        <v>5075964</v>
      </c>
      <c r="J28" s="11">
        <f>BS!J17</f>
        <v>5440350</v>
      </c>
      <c r="K28" s="11">
        <f>BS!K17</f>
        <v>5507303</v>
      </c>
      <c r="L28" s="11">
        <f>BS!L17</f>
        <v>5293442.1917500012</v>
      </c>
      <c r="M28" s="11">
        <f>BS!M17</f>
        <v>5446238.5643697781</v>
      </c>
      <c r="N28" s="11">
        <f>BS!N17</f>
        <v>5603486.1157851983</v>
      </c>
      <c r="O28" s="11">
        <f>BS!O17</f>
        <v>5765314.51437438</v>
      </c>
      <c r="P28" s="11">
        <f>BS!P17</f>
        <v>5931857.2058911305</v>
      </c>
    </row>
    <row r="29" spans="1:16" ht="15" customHeight="1" x14ac:dyDescent="0.2">
      <c r="A29" s="5" t="s">
        <v>668</v>
      </c>
      <c r="B29" s="11">
        <f>BS!B20</f>
        <v>997514</v>
      </c>
      <c r="C29" s="11">
        <f>BS!C20</f>
        <v>1088507</v>
      </c>
      <c r="D29" s="11">
        <f>BS!D20</f>
        <v>1292476</v>
      </c>
      <c r="E29" s="11">
        <f>BS!E20</f>
        <v>1438270</v>
      </c>
      <c r="F29" s="11">
        <f>BS!F20</f>
        <v>1631689</v>
      </c>
      <c r="G29" s="11">
        <f>BS!G20</f>
        <v>1915334</v>
      </c>
      <c r="H29" s="11">
        <f>BS!H20</f>
        <v>1979442</v>
      </c>
      <c r="I29" s="11">
        <f>BS!I20</f>
        <v>2104443</v>
      </c>
      <c r="J29" s="11">
        <f>BS!J20</f>
        <v>2139143</v>
      </c>
      <c r="K29" s="11">
        <f>BS!K20</f>
        <v>2216592</v>
      </c>
      <c r="L29" s="11">
        <f>BS!L20</f>
        <v>2149592</v>
      </c>
      <c r="M29" s="11">
        <f>BS!M20</f>
        <v>2082592</v>
      </c>
      <c r="N29" s="11">
        <f>BS!N20</f>
        <v>2015592</v>
      </c>
      <c r="O29" s="11">
        <f>BS!O20</f>
        <v>1948592</v>
      </c>
      <c r="P29" s="11">
        <f>BS!P20</f>
        <v>1881592</v>
      </c>
    </row>
    <row r="30" spans="1:16" ht="15" customHeight="1" x14ac:dyDescent="0.2">
      <c r="A30" s="5" t="s">
        <v>669</v>
      </c>
      <c r="B30" s="11">
        <f>BS!B22</f>
        <v>997514</v>
      </c>
      <c r="C30" s="11">
        <f>BS!C22</f>
        <v>1088507</v>
      </c>
      <c r="D30" s="11">
        <f>BS!D22</f>
        <v>1345826</v>
      </c>
      <c r="E30" s="11">
        <f>BS!E22</f>
        <v>1438270</v>
      </c>
      <c r="F30" s="11">
        <f>BS!F22</f>
        <v>1638718</v>
      </c>
      <c r="G30" s="11">
        <f>BS!G22</f>
        <v>1977064</v>
      </c>
      <c r="H30" s="11">
        <f>BS!H22</f>
        <v>2100456</v>
      </c>
      <c r="I30" s="11">
        <f>BS!I22</f>
        <v>2145320</v>
      </c>
      <c r="J30" s="11">
        <f>BS!J22</f>
        <v>2193881</v>
      </c>
      <c r="K30" s="11">
        <f>BS!K22</f>
        <v>2291346</v>
      </c>
      <c r="L30" s="11">
        <f>BS!L22</f>
        <v>2277703.8287844798</v>
      </c>
      <c r="M30" s="11">
        <f>BS!M22</f>
        <v>2257525.0357411071</v>
      </c>
      <c r="N30" s="11">
        <f>BS!N22</f>
        <v>2230447.048624855</v>
      </c>
      <c r="O30" s="11">
        <f>BS!O22</f>
        <v>2195444.9749841602</v>
      </c>
      <c r="P30" s="11">
        <f>BS!P22</f>
        <v>2153007.9527355698</v>
      </c>
    </row>
    <row r="31" spans="1:16" ht="15" customHeight="1" x14ac:dyDescent="0.2">
      <c r="A31" s="5" t="s">
        <v>67</v>
      </c>
      <c r="B31" s="11">
        <f>BS!B40</f>
        <v>972862</v>
      </c>
      <c r="C31" s="11">
        <f>BS!C40</f>
        <v>1076507</v>
      </c>
      <c r="D31" s="11">
        <f>BS!D40</f>
        <v>1342037</v>
      </c>
      <c r="E31" s="11">
        <f>BS!E40</f>
        <v>1425469</v>
      </c>
      <c r="F31" s="11">
        <f>BS!F40</f>
        <v>1636162</v>
      </c>
      <c r="G31" s="11">
        <f>BS!G40</f>
        <v>1976629</v>
      </c>
      <c r="H31" s="11">
        <f>BS!H40</f>
        <v>2091306</v>
      </c>
      <c r="I31" s="11">
        <f>BS!I40</f>
        <v>2131233</v>
      </c>
      <c r="J31" s="11">
        <f>BS!J40</f>
        <v>2180670</v>
      </c>
      <c r="K31" s="11">
        <f>BS!K40</f>
        <v>2281470</v>
      </c>
      <c r="L31" s="11">
        <f>BS!L40</f>
        <v>2277703.8287844798</v>
      </c>
      <c r="M31" s="11">
        <f>BS!M40</f>
        <v>2257525.0357411071</v>
      </c>
      <c r="N31" s="11">
        <f>BS!N40</f>
        <v>2230447.048624855</v>
      </c>
      <c r="O31" s="11">
        <f>BS!O40</f>
        <v>2195444.9749841602</v>
      </c>
      <c r="P31" s="11">
        <f>BS!P40</f>
        <v>2153007.9527355698</v>
      </c>
    </row>
    <row r="32" spans="1:16" ht="15" customHeight="1" x14ac:dyDescent="0.2">
      <c r="A32" s="7" t="s">
        <v>66</v>
      </c>
      <c r="B32" s="11">
        <f>BS!B37</f>
        <v>750450</v>
      </c>
      <c r="C32" s="11">
        <f>BS!C37</f>
        <v>967722</v>
      </c>
      <c r="D32" s="11">
        <f>BS!D37</f>
        <v>1168814</v>
      </c>
      <c r="E32" s="11">
        <f>BS!E37</f>
        <v>1602254</v>
      </c>
      <c r="F32" s="11">
        <f>BS!F37</f>
        <v>1768129</v>
      </c>
      <c r="G32" s="11">
        <f>BS!G37</f>
        <v>2111327</v>
      </c>
      <c r="H32" s="11">
        <f>BS!H37</f>
        <v>2273169</v>
      </c>
      <c r="I32" s="11">
        <f>BS!I37</f>
        <v>2482600</v>
      </c>
      <c r="J32" s="11">
        <f>BS!J37</f>
        <v>3089952</v>
      </c>
      <c r="K32" s="11">
        <f>BS!K37</f>
        <v>3063647</v>
      </c>
      <c r="L32" s="11">
        <f>BS!L37</f>
        <v>2873768.3629655214</v>
      </c>
      <c r="M32" s="11">
        <f>BS!M37</f>
        <v>3046743.5286286711</v>
      </c>
      <c r="N32" s="11">
        <f>BS!N37</f>
        <v>3231069.0671603433</v>
      </c>
      <c r="O32" s="11">
        <f>BS!O37</f>
        <v>3427899.5393902198</v>
      </c>
      <c r="P32" s="11">
        <f>BS!P37</f>
        <v>3636879.2531555607</v>
      </c>
    </row>
    <row r="33" spans="1:16" ht="15" customHeight="1" x14ac:dyDescent="0.2">
      <c r="A33" s="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19"/>
      <c r="M33" s="19"/>
      <c r="N33" s="19"/>
      <c r="O33" s="19"/>
      <c r="P33" s="19"/>
    </row>
    <row r="34" spans="1:16" ht="15" customHeight="1" x14ac:dyDescent="0.2">
      <c r="A34" s="18" t="s">
        <v>670</v>
      </c>
      <c r="B34" s="19"/>
      <c r="C34" s="57"/>
      <c r="D34" s="57"/>
      <c r="E34" s="57"/>
      <c r="F34" s="57"/>
      <c r="G34" s="57"/>
      <c r="H34" s="57"/>
      <c r="I34" s="57"/>
      <c r="J34" s="57"/>
      <c r="K34" s="57"/>
      <c r="L34" s="19"/>
      <c r="M34" s="19"/>
      <c r="N34" s="19"/>
      <c r="O34" s="19"/>
      <c r="P34" s="19"/>
    </row>
    <row r="35" spans="1:16" ht="15" customHeight="1" x14ac:dyDescent="0.2">
      <c r="A35" s="7"/>
      <c r="B35" s="16"/>
      <c r="C35" s="57"/>
      <c r="D35" s="57"/>
      <c r="E35" s="57"/>
      <c r="F35" s="57"/>
      <c r="G35" s="57"/>
      <c r="H35" s="57"/>
      <c r="I35" s="57"/>
      <c r="J35" s="57"/>
      <c r="K35" s="57"/>
      <c r="L35" s="16"/>
      <c r="M35" s="16"/>
      <c r="N35" s="16"/>
      <c r="O35" s="16"/>
      <c r="P35" s="16"/>
    </row>
    <row r="36" spans="1:16" ht="15" customHeight="1" x14ac:dyDescent="0.2">
      <c r="A36" s="5" t="s">
        <v>41</v>
      </c>
      <c r="B36" s="6">
        <f>IS!B51</f>
        <v>68569</v>
      </c>
      <c r="C36" s="6">
        <f>IS!C51</f>
        <v>78658</v>
      </c>
      <c r="D36" s="6">
        <f>IS!D51</f>
        <v>87185</v>
      </c>
      <c r="E36" s="6">
        <f>IS!E51</f>
        <v>95914</v>
      </c>
      <c r="F36" s="6">
        <f>IS!F51</f>
        <v>104503</v>
      </c>
      <c r="G36" s="6">
        <f>IS!G51</f>
        <v>111626</v>
      </c>
      <c r="H36" s="6">
        <f>IS!H51</f>
        <v>119637</v>
      </c>
      <c r="I36" s="6">
        <f>IS!I51</f>
        <v>121656</v>
      </c>
      <c r="J36" s="6">
        <f>IS!J51</f>
        <v>123123</v>
      </c>
      <c r="K36" s="6">
        <f>IS!K51</f>
        <v>124547</v>
      </c>
      <c r="L36" s="6">
        <f>IS!L51</f>
        <v>125568.0813546798</v>
      </c>
      <c r="M36" s="6">
        <f>IS!M51</f>
        <v>127071.18695907327</v>
      </c>
      <c r="N36" s="6">
        <f>IS!N51</f>
        <v>128592.28540395282</v>
      </c>
      <c r="O36" s="6">
        <f>IS!O51</f>
        <v>130131.59207159618</v>
      </c>
      <c r="P36" s="6">
        <f>IS!P51</f>
        <v>131689.32492250248</v>
      </c>
    </row>
    <row r="37" spans="1:16" ht="15" customHeight="1" x14ac:dyDescent="0.2">
      <c r="A37" s="5" t="s">
        <v>75</v>
      </c>
      <c r="B37" s="6">
        <f>BS!B57</f>
        <v>71736</v>
      </c>
      <c r="C37" s="6">
        <f>BS!C57</f>
        <v>84428</v>
      </c>
      <c r="D37" s="6">
        <f>BS!D57</f>
        <v>90213</v>
      </c>
      <c r="E37" s="6">
        <f>BS!E57</f>
        <v>97948</v>
      </c>
      <c r="F37" s="6">
        <f>BS!F57</f>
        <v>107314</v>
      </c>
      <c r="G37" s="6">
        <f>BS!G57</f>
        <v>110557</v>
      </c>
      <c r="H37" s="6">
        <f>BS!H57</f>
        <v>116801</v>
      </c>
      <c r="I37" s="6">
        <f>BS!I57</f>
        <v>118298</v>
      </c>
      <c r="J37" s="6">
        <f>BS!J57</f>
        <v>119621</v>
      </c>
      <c r="K37" s="6">
        <f>BS!K57</f>
        <v>121458</v>
      </c>
      <c r="L37" s="6">
        <f>BS!L57</f>
        <v>126315.1627093596</v>
      </c>
      <c r="M37" s="6">
        <f>BS!M57</f>
        <v>127827.21120878692</v>
      </c>
      <c r="N37" s="6">
        <f>BS!N57</f>
        <v>129357.3595991187</v>
      </c>
      <c r="O37" s="6">
        <f>BS!O57</f>
        <v>130905.82454407366</v>
      </c>
      <c r="P37" s="6">
        <f>BS!P57</f>
        <v>132472.82530093129</v>
      </c>
    </row>
    <row r="38" spans="1:16" ht="15" customHeight="1" x14ac:dyDescent="0.2">
      <c r="A38" s="5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20"/>
      <c r="M38" s="20"/>
      <c r="N38" s="20"/>
      <c r="O38" s="20"/>
      <c r="P38" s="20"/>
    </row>
    <row r="39" spans="1:16" ht="15" customHeight="1" x14ac:dyDescent="0.2">
      <c r="A39" s="7" t="s">
        <v>671</v>
      </c>
      <c r="B39" s="19">
        <f>IS!B52</f>
        <v>0.85878458195394425</v>
      </c>
      <c r="C39" s="19">
        <f>IS!C52</f>
        <v>0.88831396679295171</v>
      </c>
      <c r="D39" s="19">
        <f>IS!D52</f>
        <v>0.93832654699776341</v>
      </c>
      <c r="E39" s="19">
        <f>IS!E52</f>
        <v>0.97883520653919132</v>
      </c>
      <c r="F39" s="19">
        <f>IS!F52</f>
        <v>1.0016745930738831</v>
      </c>
      <c r="G39" s="19">
        <f>IS!G52</f>
        <v>1.0681651228208482</v>
      </c>
      <c r="H39" s="19">
        <f>IS!H52</f>
        <v>1.1083778429749993</v>
      </c>
      <c r="I39" s="19">
        <f>IS!I52</f>
        <v>1.1487719471296114</v>
      </c>
      <c r="J39" s="19">
        <f>IS!J52</f>
        <v>1.1769856160100063</v>
      </c>
      <c r="K39" s="19">
        <f>IS!K52</f>
        <v>1.2266533918922173</v>
      </c>
      <c r="L39" s="19">
        <f>IS!L52</f>
        <v>1.2322605167348402</v>
      </c>
      <c r="M39" s="19">
        <f>IS!M52</f>
        <v>1.275305176897469</v>
      </c>
      <c r="N39" s="19">
        <f>IS!N52</f>
        <v>1.3200517340083966</v>
      </c>
      <c r="O39" s="19">
        <f>IS!O52</f>
        <v>1.3715101690894298</v>
      </c>
      <c r="P39" s="19">
        <f>IS!P52</f>
        <v>1.4179252854310023</v>
      </c>
    </row>
    <row r="40" spans="1:16" ht="15" customHeight="1" x14ac:dyDescent="0.2">
      <c r="A40" s="5" t="s">
        <v>672</v>
      </c>
      <c r="B40" s="19">
        <f>IS!B94</f>
        <v>0.76342078781956857</v>
      </c>
      <c r="C40" s="19">
        <f>IS!C94</f>
        <v>0.71171400239009386</v>
      </c>
      <c r="D40" s="19">
        <f>IS!D94</f>
        <v>0.76016516602626594</v>
      </c>
      <c r="E40" s="19">
        <f>IS!E94</f>
        <v>0.80038367704401858</v>
      </c>
      <c r="F40" s="19">
        <f>IS!F94</f>
        <v>0.8307512702984603</v>
      </c>
      <c r="G40" s="19">
        <f>IS!G94</f>
        <v>0.89977245444609677</v>
      </c>
      <c r="H40" s="19">
        <f>IS!H94</f>
        <v>0.93246236532176496</v>
      </c>
      <c r="I40" s="19">
        <f>IS!I94</f>
        <v>0.96830407049385148</v>
      </c>
      <c r="J40" s="19">
        <f>IS!J94</f>
        <v>0.98866986671864721</v>
      </c>
      <c r="K40" s="19">
        <f>IS!K94</f>
        <v>1.042835234891246</v>
      </c>
      <c r="L40" s="19">
        <f>IS!L94</f>
        <v>1.0500498008175239</v>
      </c>
      <c r="M40" s="19">
        <f>IS!M94</f>
        <v>1.095249803625721</v>
      </c>
      <c r="N40" s="19">
        <f>IS!N94</f>
        <v>1.1421262081642412</v>
      </c>
      <c r="O40" s="19">
        <f>IS!O94</f>
        <v>1.1956892970339192</v>
      </c>
      <c r="P40" s="19">
        <f>IS!P94</f>
        <v>1.2441841715368844</v>
      </c>
    </row>
    <row r="41" spans="1:16" ht="15" customHeight="1" x14ac:dyDescent="0.2">
      <c r="A41" s="5" t="s">
        <v>673</v>
      </c>
      <c r="B41" s="19">
        <f>IS!B63</f>
        <v>0.5713864866047339</v>
      </c>
      <c r="C41" s="19">
        <f>IS!C63</f>
        <v>0.63736682854890792</v>
      </c>
      <c r="D41" s="19">
        <f>IS!D63</f>
        <v>0.6710580948557664</v>
      </c>
      <c r="E41" s="19">
        <f>IS!E63</f>
        <v>0.70022728694455461</v>
      </c>
      <c r="F41" s="19">
        <f>IS!F63</f>
        <v>0.73011014037874511</v>
      </c>
      <c r="G41" s="19">
        <f>IS!G63</f>
        <v>0.79050355651909054</v>
      </c>
      <c r="H41" s="19">
        <f>IS!H63</f>
        <v>0.81265160443675444</v>
      </c>
      <c r="I41" s="19">
        <f>IS!I63</f>
        <v>0.83626413822581713</v>
      </c>
      <c r="J41" s="19">
        <f>IS!J63</f>
        <v>0.80010111839380138</v>
      </c>
      <c r="K41" s="19">
        <f>IS!K63</f>
        <v>0.8827976587151839</v>
      </c>
      <c r="L41" s="19">
        <f>IS!L63</f>
        <v>0.91441115957702657</v>
      </c>
      <c r="M41" s="19">
        <f>IS!M63</f>
        <v>0.95219725829435486</v>
      </c>
      <c r="N41" s="19">
        <f>IS!N63</f>
        <v>0.99159452340896004</v>
      </c>
      <c r="O41" s="19">
        <f>IS!O63</f>
        <v>1.0376114157882177</v>
      </c>
      <c r="P41" s="19">
        <f>IS!P63</f>
        <v>1.0784911925727636</v>
      </c>
    </row>
    <row r="42" spans="1:16" ht="15" customHeight="1" x14ac:dyDescent="0.2">
      <c r="A42" s="5" t="s">
        <v>674</v>
      </c>
      <c r="B42" s="19">
        <f>CFS!B54</f>
        <v>0.43932389272120054</v>
      </c>
      <c r="C42" s="19">
        <f>CFS!C54</f>
        <v>0.65783518523227136</v>
      </c>
      <c r="D42" s="19">
        <f>CFS!D54</f>
        <v>0.48086253369272236</v>
      </c>
      <c r="E42" s="19">
        <f>CFS!E54</f>
        <v>0.22717225848155639</v>
      </c>
      <c r="F42" s="19">
        <f>CFS!F54</f>
        <v>0.515420609934643</v>
      </c>
      <c r="G42" s="19">
        <f>CFS!G54</f>
        <v>0.57377313529106122</v>
      </c>
      <c r="H42" s="19">
        <f>CFS!H54</f>
        <v>0.26255255481163853</v>
      </c>
      <c r="I42" s="19">
        <f>CFS!I54</f>
        <v>0.33987637272308807</v>
      </c>
      <c r="J42" s="19">
        <f>CFS!J54</f>
        <v>0.53793361110434279</v>
      </c>
      <c r="K42" s="19">
        <f>CFS!K54</f>
        <v>0.53258609199739859</v>
      </c>
      <c r="L42" s="19">
        <f>CFS!L54</f>
        <v>0.63111650636498851</v>
      </c>
      <c r="M42" s="19">
        <f>CFS!M54</f>
        <v>0.68127200693650969</v>
      </c>
      <c r="N42" s="19">
        <f>CFS!N54</f>
        <v>0.73304529141444863</v>
      </c>
      <c r="O42" s="19">
        <f>CFS!O54</f>
        <v>0.7914473357808991</v>
      </c>
      <c r="P42" s="19">
        <f>CFS!P54</f>
        <v>0.8447239265173494</v>
      </c>
    </row>
    <row r="43" spans="1:16" ht="15" customHeight="1" x14ac:dyDescent="0.2">
      <c r="A43" s="7" t="s">
        <v>675</v>
      </c>
      <c r="B43" s="19">
        <f>IS!B66</f>
        <v>0.6</v>
      </c>
      <c r="C43" s="19">
        <f>IS!C66</f>
        <v>0.62</v>
      </c>
      <c r="D43" s="19">
        <f>IS!D66</f>
        <v>0.64</v>
      </c>
      <c r="E43" s="19">
        <f>IS!E66</f>
        <v>0.66</v>
      </c>
      <c r="F43" s="19">
        <f>IS!F66</f>
        <v>0.68</v>
      </c>
      <c r="G43" s="19">
        <f>IS!G66</f>
        <v>0.69</v>
      </c>
      <c r="H43" s="19">
        <f>IS!H66</f>
        <v>0.7</v>
      </c>
      <c r="I43" s="19">
        <f>IS!I66</f>
        <v>0.7</v>
      </c>
      <c r="J43" s="19">
        <f>IS!J66</f>
        <v>0.72</v>
      </c>
      <c r="K43" s="19">
        <f>IS!K66</f>
        <v>0.72</v>
      </c>
      <c r="L43" s="19">
        <f>IS!L66</f>
        <v>0.72</v>
      </c>
      <c r="M43" s="19">
        <f>IS!M66</f>
        <v>0.72</v>
      </c>
      <c r="N43" s="19">
        <f>IS!N66</f>
        <v>0.72</v>
      </c>
      <c r="O43" s="19">
        <f>IS!O66</f>
        <v>0.72</v>
      </c>
      <c r="P43" s="19">
        <f>IS!P66</f>
        <v>0.72</v>
      </c>
    </row>
    <row r="44" spans="1:16" ht="15" customHeight="1" x14ac:dyDescent="0.2">
      <c r="A44" s="7" t="s">
        <v>676</v>
      </c>
      <c r="B44" s="19">
        <f>BS!B59</f>
        <v>10.461274673803947</v>
      </c>
      <c r="C44" s="19">
        <f>BS!C59</f>
        <v>11.462097882219169</v>
      </c>
      <c r="D44" s="19">
        <f>BS!D59</f>
        <v>12.956159311850842</v>
      </c>
      <c r="E44" s="19">
        <f>BS!E59</f>
        <v>16.35821047902969</v>
      </c>
      <c r="F44" s="19">
        <f>BS!F59</f>
        <v>16.476219319007772</v>
      </c>
      <c r="G44" s="19">
        <f>BS!G59</f>
        <v>19.097180639850937</v>
      </c>
      <c r="H44" s="19">
        <f>BS!H59</f>
        <v>19.461896730336214</v>
      </c>
      <c r="I44" s="19">
        <f>BS!I59</f>
        <v>20.985984547498688</v>
      </c>
      <c r="J44" s="19">
        <f>BS!J59</f>
        <v>25.831183487849124</v>
      </c>
      <c r="K44" s="19">
        <f>BS!K59</f>
        <v>25.223921026198358</v>
      </c>
      <c r="L44" s="19">
        <f>BS!L59</f>
        <v>22.75077909354253</v>
      </c>
      <c r="M44" s="19">
        <f>BS!M59</f>
        <v>23.834858789591085</v>
      </c>
      <c r="N44" s="19">
        <f>BS!N59</f>
        <v>24.977852649230762</v>
      </c>
      <c r="O44" s="19">
        <f>BS!O59</f>
        <v>26.18599708094812</v>
      </c>
      <c r="P44" s="19">
        <f>BS!P59</f>
        <v>27.453775858511815</v>
      </c>
    </row>
    <row r="45" spans="1:16" ht="15" customHeight="1" x14ac:dyDescent="0.2">
      <c r="A45" s="5" t="s">
        <v>677</v>
      </c>
      <c r="B45" s="19">
        <f>BS!B62</f>
        <v>11.94</v>
      </c>
      <c r="C45" s="19">
        <f>BS!C62</f>
        <v>14.22</v>
      </c>
      <c r="D45" s="19">
        <f>BS!D62</f>
        <v>14.95</v>
      </c>
      <c r="E45" s="19">
        <f>BS!E62</f>
        <v>19.899999999999999</v>
      </c>
      <c r="F45" s="19">
        <f>BS!F62</f>
        <v>17.100000000000001</v>
      </c>
      <c r="G45" s="19">
        <f>BS!G62</f>
        <v>20.8</v>
      </c>
      <c r="H45" s="19">
        <f>BS!H62</f>
        <v>17.78</v>
      </c>
      <c r="I45" s="19">
        <f>BS!I62</f>
        <v>15.78</v>
      </c>
      <c r="J45" s="19">
        <f>BS!J62</f>
        <v>21.22</v>
      </c>
      <c r="K45" s="19">
        <f>BS!K62</f>
        <v>16.239999999999998</v>
      </c>
      <c r="L45" s="15"/>
      <c r="M45" s="15"/>
      <c r="N45" s="15"/>
      <c r="O45" s="15"/>
      <c r="P45" s="15"/>
    </row>
    <row r="46" spans="1:16" ht="15" customHeight="1" x14ac:dyDescent="0.2">
      <c r="A46" s="7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5" customHeight="1" x14ac:dyDescent="0.2">
      <c r="A47" s="18" t="s">
        <v>678</v>
      </c>
      <c r="B47" s="19"/>
      <c r="P47" s="9"/>
    </row>
    <row r="48" spans="1:16" ht="15" customHeight="1" x14ac:dyDescent="0.2">
      <c r="A48" s="5"/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ht="15" customHeight="1" x14ac:dyDescent="0.2">
      <c r="A49" s="5" t="s">
        <v>679</v>
      </c>
      <c r="B49" s="16">
        <f>BS!B47</f>
        <v>5.4899999999999997E-2</v>
      </c>
      <c r="C49" s="16">
        <f>BS!C47</f>
        <v>5.3699999999999998E-2</v>
      </c>
      <c r="D49" s="16">
        <f>BS!D47</f>
        <v>4.8500000000000001E-2</v>
      </c>
      <c r="E49" s="16">
        <f>BS!E47</f>
        <v>4.5900000000000003E-2</v>
      </c>
      <c r="F49" s="16">
        <f>BS!F47</f>
        <v>4.6699999999999998E-2</v>
      </c>
      <c r="G49" s="16">
        <f>BS!G47</f>
        <v>4.41E-2</v>
      </c>
      <c r="H49" s="16">
        <f>BS!H47</f>
        <v>4.2999999999999997E-2</v>
      </c>
      <c r="I49" s="16">
        <f>BS!I47</f>
        <v>4.5499999999999999E-2</v>
      </c>
      <c r="J49" s="16">
        <f>BS!J47</f>
        <v>4.6199999999999998E-2</v>
      </c>
      <c r="K49" s="16">
        <f>BS!K47</f>
        <v>4.6800000000000001E-2</v>
      </c>
      <c r="L49" s="16">
        <f>BS!L47</f>
        <v>0.05</v>
      </c>
      <c r="M49" s="16">
        <f>BS!M47</f>
        <v>0.05</v>
      </c>
      <c r="N49" s="16">
        <f>BS!N47</f>
        <v>0.05</v>
      </c>
      <c r="O49" s="16">
        <f>BS!O47</f>
        <v>0.05</v>
      </c>
      <c r="P49" s="16">
        <f>BS!P47</f>
        <v>0.05</v>
      </c>
    </row>
    <row r="50" spans="1:16" ht="15" customHeight="1" x14ac:dyDescent="0.2">
      <c r="A50" s="7" t="s">
        <v>680</v>
      </c>
      <c r="B50" s="57">
        <f t="shared" ref="B50:K50" si="0">IF(OR(B44=0,B45=0),"",(B45-B44)/B44)</f>
        <v>0.14135230861483111</v>
      </c>
      <c r="C50" s="57">
        <f t="shared" si="0"/>
        <v>0.24061058857812478</v>
      </c>
      <c r="D50" s="57">
        <f t="shared" si="0"/>
        <v>0.15389133771498287</v>
      </c>
      <c r="E50" s="57">
        <f t="shared" si="0"/>
        <v>0.21651448521894764</v>
      </c>
      <c r="F50" s="57">
        <f t="shared" si="0"/>
        <v>3.7859454824846005E-2</v>
      </c>
      <c r="G50" s="57">
        <f t="shared" si="0"/>
        <v>8.9166007918242932E-2</v>
      </c>
      <c r="H50" s="57">
        <f t="shared" si="0"/>
        <v>-8.6419980212645867E-2</v>
      </c>
      <c r="I50" s="57">
        <f t="shared" si="0"/>
        <v>-0.24806958833481027</v>
      </c>
      <c r="J50" s="57">
        <f t="shared" si="0"/>
        <v>-0.17851228109692324</v>
      </c>
      <c r="K50" s="57">
        <f t="shared" si="0"/>
        <v>-0.35616671241823888</v>
      </c>
      <c r="L50" s="15"/>
      <c r="M50" s="15"/>
      <c r="N50" s="15"/>
      <c r="O50" s="15"/>
      <c r="P50" s="15"/>
    </row>
    <row r="51" spans="1:16" ht="15" customHeight="1" x14ac:dyDescent="0.2">
      <c r="A51" s="5" t="s">
        <v>35</v>
      </c>
      <c r="B51" s="15">
        <f>IS!B45</f>
        <v>0.60149826837603915</v>
      </c>
      <c r="C51" s="15">
        <f>IS!C45</f>
        <v>0.61491004765793023</v>
      </c>
      <c r="D51" s="15">
        <f>IS!D45</f>
        <v>0.62841557888302868</v>
      </c>
      <c r="E51" s="15">
        <f>IS!E45</f>
        <v>0.63014117948781589</v>
      </c>
      <c r="F51" s="15">
        <f>IS!F45</f>
        <v>0.62922541938935383</v>
      </c>
      <c r="G51" s="15">
        <f>IS!G45</f>
        <v>0.62985318836644133</v>
      </c>
      <c r="H51" s="15">
        <f>IS!H45</f>
        <v>0.62920446286570964</v>
      </c>
      <c r="I51" s="15">
        <f>IS!I45</f>
        <v>0.64352434295562255</v>
      </c>
      <c r="J51" s="15">
        <f>IS!J45</f>
        <v>0.65948443713149596</v>
      </c>
      <c r="K51" s="15">
        <f>IS!K45</f>
        <v>0.66465137023638432</v>
      </c>
      <c r="L51" s="15">
        <f>IS!L45</f>
        <v>0.66465137023638432</v>
      </c>
      <c r="M51" s="15">
        <f>IS!M45</f>
        <v>0.66465137023638432</v>
      </c>
      <c r="N51" s="15">
        <f>IS!N45</f>
        <v>0.66465137023638432</v>
      </c>
      <c r="O51" s="15">
        <f>IS!O45</f>
        <v>0.66465137023638432</v>
      </c>
      <c r="P51" s="15">
        <f>IS!P45</f>
        <v>0.66465137023638432</v>
      </c>
    </row>
    <row r="52" spans="1:16" ht="15" customHeight="1" x14ac:dyDescent="0.2">
      <c r="A52" s="5" t="s">
        <v>45</v>
      </c>
      <c r="B52" s="15">
        <f>IS!B67</f>
        <v>0.698661821145943</v>
      </c>
      <c r="C52" s="15">
        <f>IS!C67</f>
        <v>0.69795142615888828</v>
      </c>
      <c r="D52" s="15">
        <f>IS!D67</f>
        <v>0.68206532368472517</v>
      </c>
      <c r="E52" s="15">
        <f>IS!E67</f>
        <v>0.67427080226662695</v>
      </c>
      <c r="F52" s="15">
        <f>IS!F67</f>
        <v>0.67886318041995453</v>
      </c>
      <c r="G52" s="15">
        <f>IS!G67</f>
        <v>0.64596754308718074</v>
      </c>
      <c r="H52" s="15">
        <f>IS!H67</f>
        <v>0.63155358476052581</v>
      </c>
      <c r="I52" s="15">
        <f>IS!I67</f>
        <v>0.60934635612321553</v>
      </c>
      <c r="J52" s="15">
        <f>IS!J67</f>
        <v>0.61173219978746007</v>
      </c>
      <c r="K52" s="15">
        <f>IS!K67</f>
        <v>0.5869628737498036</v>
      </c>
      <c r="L52" s="15">
        <f>IS!L67</f>
        <v>0.58429203096420457</v>
      </c>
      <c r="M52" s="15">
        <f>IS!M67</f>
        <v>0.56457074984326361</v>
      </c>
      <c r="N52" s="15">
        <f>IS!N67</f>
        <v>0.54543316860293611</v>
      </c>
      <c r="O52" s="15">
        <f>IS!O67</f>
        <v>0.52496876525386671</v>
      </c>
      <c r="P52" s="15">
        <f>IS!P67</f>
        <v>0.50778415999623272</v>
      </c>
    </row>
    <row r="53" spans="1:16" ht="15" customHeight="1" x14ac:dyDescent="0.2">
      <c r="A53" s="5" t="s">
        <v>681</v>
      </c>
      <c r="B53" s="20">
        <f>IF(IS!B93=0,"",IS!B51*IS!B66/IS!B93)</f>
        <v>0.78593615679981665</v>
      </c>
      <c r="C53" s="20">
        <f>IF(IS!C93=0,"",IS!C51*IS!C66/IS!C93)</f>
        <v>0.87113643671180019</v>
      </c>
      <c r="D53" s="20">
        <f>IF(IS!D93=0,"",IS!D51*IS!D66/IS!D93)</f>
        <v>0.8419222934741607</v>
      </c>
      <c r="E53" s="20">
        <f>IF(IS!E93=0,"",IS!E51*IS!E66/IS!E93)</f>
        <v>0.82460452271779916</v>
      </c>
      <c r="F53" s="20">
        <f>IF(IS!F93=0,"",IS!F51*IS!F66/IS!F93)</f>
        <v>0.81853621452266878</v>
      </c>
      <c r="G53" s="20">
        <f>IF(IS!G93=0,"",IS!G51*IS!G66/IS!G93)</f>
        <v>0.76686055078755044</v>
      </c>
      <c r="H53" s="20">
        <f>IF(IS!H93=0,"",IS!H51*IS!H66/IS!H93)</f>
        <v>0.75070053873804421</v>
      </c>
      <c r="I53" s="20">
        <f>IF(IS!I93=0,"",IS!I51*IS!I66/IS!I93)</f>
        <v>0.72291341256366726</v>
      </c>
      <c r="J53" s="20">
        <f>IF(IS!J93=0,"",IS!J51*IS!J66/IS!J93)</f>
        <v>0.72825118296529967</v>
      </c>
      <c r="K53" s="20">
        <f>IF(IS!K93=0,"",IS!K51*IS!K66/IS!K93)</f>
        <v>0.6904254631126715</v>
      </c>
      <c r="L53" s="20">
        <f>IF(IS!L93=0,"",IS!L51*IS!L66/IS!L93)</f>
        <v>0.68568176427388372</v>
      </c>
      <c r="M53" s="20">
        <f>IF(IS!M93=0,"",IS!M51*IS!M66/IS!M93)</f>
        <v>0.65738427673441069</v>
      </c>
      <c r="N53" s="20">
        <f>IF(IS!N93=0,"",IS!N51*IS!N66/IS!N93)</f>
        <v>0.63040318561402087</v>
      </c>
      <c r="O53" s="20">
        <f>IF(IS!O93=0,"",IS!O51*IS!O66/IS!O93)</f>
        <v>0.60216312196325961</v>
      </c>
      <c r="P53" s="20">
        <f>IF(IS!P93=0,"",IS!P51*IS!P66/IS!P93)</f>
        <v>0.57869246086824633</v>
      </c>
    </row>
    <row r="54" spans="1:16" ht="15" customHeight="1" x14ac:dyDescent="0.2">
      <c r="A54" s="5" t="s">
        <v>58</v>
      </c>
      <c r="B54" s="15">
        <f>CFS!B57</f>
        <v>1.0461758066657814</v>
      </c>
      <c r="C54" s="15">
        <f>CFS!C57</f>
        <v>0.70947356215213353</v>
      </c>
      <c r="D54" s="15">
        <f>CFS!D57</f>
        <v>0.99270107814139874</v>
      </c>
      <c r="E54" s="15">
        <f>CFS!E57</f>
        <v>2.067143971728854</v>
      </c>
      <c r="F54" s="15">
        <f>CFS!F57</f>
        <v>0.92146742661938619</v>
      </c>
      <c r="G54" s="15">
        <f>CFS!G57</f>
        <v>0.80338183862103418</v>
      </c>
      <c r="H54" s="15">
        <f>CFS!H57</f>
        <v>1.8813154627359843</v>
      </c>
      <c r="I54" s="15">
        <f>CFS!I57</f>
        <v>1.3833075360356002</v>
      </c>
      <c r="J54" s="15">
        <f>CFS!J57</f>
        <v>0.91325945162459232</v>
      </c>
      <c r="K54" s="15">
        <f>CFS!K57</f>
        <v>0.95136585660013262</v>
      </c>
      <c r="L54" s="15">
        <f>CFS!L57</f>
        <v>0.8278548868569251</v>
      </c>
      <c r="M54" s="15">
        <f>CFS!M57</f>
        <v>0.76690789970916351</v>
      </c>
      <c r="N54" s="15">
        <f>CFS!N57</f>
        <v>0.71274297794367791</v>
      </c>
      <c r="O54" s="15">
        <f>CFS!O57</f>
        <v>0.66014864205059942</v>
      </c>
      <c r="P54" s="15">
        <f>CFS!P57</f>
        <v>0.61851318231790908</v>
      </c>
    </row>
    <row r="55" spans="1:16" ht="15" customHeight="1" x14ac:dyDescent="0.2">
      <c r="A55" s="5" t="s">
        <v>68</v>
      </c>
      <c r="B55" s="25">
        <f>BS!B41</f>
        <v>10.450543548317793</v>
      </c>
      <c r="C55" s="25">
        <f>BS!C41</f>
        <v>10.494828174506459</v>
      </c>
      <c r="D55" s="25">
        <f>BS!D41</f>
        <v>11.007250477760554</v>
      </c>
      <c r="E55" s="25">
        <f>BS!E41</f>
        <v>10.043889687438348</v>
      </c>
      <c r="F55" s="25">
        <f>BS!F41</f>
        <v>10.863063266430748</v>
      </c>
      <c r="G55" s="25">
        <f>BS!G41</f>
        <v>11.876139319982936</v>
      </c>
      <c r="H55" s="25">
        <f>BS!H41</f>
        <v>10.791609474173073</v>
      </c>
      <c r="I55" s="25">
        <f>BS!I41</f>
        <v>10.334704031112253</v>
      </c>
      <c r="J55" s="25">
        <f>BS!J41</f>
        <v>10.020954823055821</v>
      </c>
      <c r="K55" s="25">
        <f>BS!K41</f>
        <v>9.6756504590852224</v>
      </c>
      <c r="L55" s="25">
        <f>BS!L41</f>
        <v>9.5201750778945957</v>
      </c>
      <c r="M55" s="25">
        <f>BS!M41</f>
        <v>9.1522315105139107</v>
      </c>
      <c r="N55" s="25">
        <f>BS!N41</f>
        <v>8.7707427125204784</v>
      </c>
      <c r="O55" s="25">
        <f>BS!O41</f>
        <v>8.3875137297053115</v>
      </c>
      <c r="P55" s="25">
        <f>BS!P41</f>
        <v>7.9914271499551637</v>
      </c>
    </row>
    <row r="56" spans="1:16" ht="15" customHeight="1" x14ac:dyDescent="0.2">
      <c r="A56" s="5" t="s">
        <v>86</v>
      </c>
      <c r="B56" s="15">
        <f>Ops!B14</f>
        <v>0.04</v>
      </c>
      <c r="C56" s="15">
        <f>Ops!C14</f>
        <v>3.5999999999999997E-2</v>
      </c>
      <c r="D56" s="15">
        <f>Ops!D14</f>
        <v>4.8000000000000001E-2</v>
      </c>
      <c r="E56" s="15">
        <f>Ops!E14</f>
        <v>4.1000000000000002E-2</v>
      </c>
      <c r="F56" s="15">
        <f>Ops!F14</f>
        <v>2.3E-2</v>
      </c>
      <c r="G56" s="15">
        <f>Ops!G14</f>
        <v>5.0999999999999997E-2</v>
      </c>
      <c r="H56" s="15">
        <f>Ops!H14</f>
        <v>4.7E-2</v>
      </c>
      <c r="I56" s="15">
        <f>Ops!I14</f>
        <v>7.8E-2</v>
      </c>
      <c r="J56" s="15">
        <f>Ops!J14</f>
        <v>8.3000000000000004E-2</v>
      </c>
      <c r="K56" s="15">
        <f>Ops!K14</f>
        <v>6.0999999999999999E-2</v>
      </c>
      <c r="L56" s="15">
        <f>Ops!L14</f>
        <v>0</v>
      </c>
      <c r="M56" s="15">
        <f>Ops!M14</f>
        <v>0</v>
      </c>
      <c r="N56" s="15">
        <f>Ops!N14</f>
        <v>0</v>
      </c>
      <c r="O56" s="15">
        <f>Ops!O14</f>
        <v>0</v>
      </c>
      <c r="P56" s="15">
        <f>Ops!P14</f>
        <v>0</v>
      </c>
    </row>
    <row r="57" spans="1:16" ht="15" customHeight="1" x14ac:dyDescent="0.2">
      <c r="A57" s="5" t="s">
        <v>682</v>
      </c>
      <c r="B57" s="16">
        <f>Ops!B63</f>
        <v>3.0099999999999998E-2</v>
      </c>
      <c r="C57" s="16">
        <f>Ops!C63</f>
        <v>2.8899999999999999E-2</v>
      </c>
      <c r="D57" s="16">
        <f>Ops!D63</f>
        <v>2.9499999999999998E-2</v>
      </c>
      <c r="E57" s="16">
        <f>Ops!E63</f>
        <v>2.9000000000000001E-2</v>
      </c>
      <c r="F57" s="16">
        <f>Ops!F63</f>
        <v>2.69E-2</v>
      </c>
      <c r="G57" s="16">
        <f>Ops!G63</f>
        <v>2.58E-2</v>
      </c>
      <c r="H57" s="16">
        <f>Ops!H63</f>
        <v>2.7400000000000001E-2</v>
      </c>
      <c r="I57" s="16">
        <f>Ops!I63</f>
        <v>3.2000000000000001E-2</v>
      </c>
      <c r="J57" s="16">
        <f>Ops!J63</f>
        <v>3.5000000000000003E-2</v>
      </c>
      <c r="K57" s="16">
        <f>Ops!K63</f>
        <v>3.5799999999999998E-2</v>
      </c>
      <c r="L57" s="16">
        <f>Ops!L63</f>
        <v>0</v>
      </c>
      <c r="M57" s="16">
        <f>Ops!M63</f>
        <v>0</v>
      </c>
      <c r="N57" s="16">
        <f>Ops!N63</f>
        <v>0</v>
      </c>
      <c r="O57" s="16">
        <f>Ops!O63</f>
        <v>0</v>
      </c>
      <c r="P57" s="16">
        <f>Ops!P63</f>
        <v>0</v>
      </c>
    </row>
    <row r="58" spans="1:16" ht="15" customHeight="1" x14ac:dyDescent="0.2">
      <c r="A58" s="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16" ht="15" customHeight="1" x14ac:dyDescent="0.2">
      <c r="A59" s="18" t="s">
        <v>683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pans="1:16" ht="15" customHeight="1" x14ac:dyDescent="0.2">
      <c r="A60" s="7"/>
      <c r="C60" s="20"/>
      <c r="D60" s="20"/>
      <c r="E60" s="20"/>
      <c r="F60" s="20"/>
      <c r="G60" s="20"/>
      <c r="H60" s="20"/>
      <c r="I60" s="20"/>
      <c r="J60" s="20"/>
      <c r="K60" s="20"/>
      <c r="L60" s="57"/>
      <c r="M60" s="57"/>
      <c r="N60" s="57"/>
      <c r="O60" s="57"/>
      <c r="P60" s="57"/>
    </row>
    <row r="61" spans="1:16" ht="15" customHeight="1" x14ac:dyDescent="0.2">
      <c r="A61" s="7" t="s">
        <v>684</v>
      </c>
      <c r="C61" s="20"/>
      <c r="D61" s="20"/>
      <c r="E61" s="20"/>
      <c r="F61" s="20"/>
      <c r="G61" s="20"/>
      <c r="H61" s="20"/>
      <c r="I61" s="20"/>
      <c r="J61" s="20"/>
      <c r="K61" s="20"/>
      <c r="L61" s="57"/>
      <c r="M61" s="57"/>
      <c r="N61" s="57"/>
      <c r="O61" s="57"/>
      <c r="P61" s="57"/>
    </row>
    <row r="62" spans="1:16" ht="15" customHeight="1" x14ac:dyDescent="0.2">
      <c r="A62" s="5" t="s">
        <v>685</v>
      </c>
      <c r="C62" s="19">
        <f t="shared" ref="C62:K62" si="1">B44</f>
        <v>10.461274673803947</v>
      </c>
      <c r="D62" s="19">
        <f t="shared" si="1"/>
        <v>11.462097882219169</v>
      </c>
      <c r="E62" s="19">
        <f t="shared" si="1"/>
        <v>12.956159311850842</v>
      </c>
      <c r="F62" s="19">
        <f t="shared" si="1"/>
        <v>16.35821047902969</v>
      </c>
      <c r="G62" s="19">
        <f t="shared" si="1"/>
        <v>16.476219319007772</v>
      </c>
      <c r="H62" s="19">
        <f t="shared" si="1"/>
        <v>19.097180639850937</v>
      </c>
      <c r="I62" s="19">
        <f t="shared" si="1"/>
        <v>19.461896730336214</v>
      </c>
      <c r="J62" s="19">
        <f t="shared" si="1"/>
        <v>20.985984547498688</v>
      </c>
      <c r="K62" s="19">
        <f t="shared" si="1"/>
        <v>25.831183487849124</v>
      </c>
      <c r="L62" s="57"/>
      <c r="M62" s="57"/>
      <c r="N62" s="57"/>
      <c r="O62" s="57"/>
      <c r="P62" s="57"/>
    </row>
    <row r="63" spans="1:16" ht="15" customHeight="1" x14ac:dyDescent="0.2">
      <c r="A63" s="5" t="s">
        <v>686</v>
      </c>
      <c r="C63" s="19">
        <f t="shared" ref="C63:K63" si="2">C44</f>
        <v>11.462097882219169</v>
      </c>
      <c r="D63" s="19">
        <f t="shared" si="2"/>
        <v>12.956159311850842</v>
      </c>
      <c r="E63" s="19">
        <f t="shared" si="2"/>
        <v>16.35821047902969</v>
      </c>
      <c r="F63" s="19">
        <f t="shared" si="2"/>
        <v>16.476219319007772</v>
      </c>
      <c r="G63" s="19">
        <f t="shared" si="2"/>
        <v>19.097180639850937</v>
      </c>
      <c r="H63" s="19">
        <f t="shared" si="2"/>
        <v>19.461896730336214</v>
      </c>
      <c r="I63" s="19">
        <f t="shared" si="2"/>
        <v>20.985984547498688</v>
      </c>
      <c r="J63" s="19">
        <f t="shared" si="2"/>
        <v>25.831183487849124</v>
      </c>
      <c r="K63" s="19">
        <f t="shared" si="2"/>
        <v>25.223921026198358</v>
      </c>
      <c r="L63" s="57"/>
      <c r="M63" s="57"/>
      <c r="N63" s="57"/>
      <c r="O63" s="57"/>
      <c r="P63" s="57"/>
    </row>
    <row r="64" spans="1:16" ht="15" customHeight="1" x14ac:dyDescent="0.2">
      <c r="A64" s="5" t="s">
        <v>687</v>
      </c>
      <c r="C64" s="19">
        <f t="shared" ref="C64:K64" si="3">C43</f>
        <v>0.62</v>
      </c>
      <c r="D64" s="19">
        <f t="shared" si="3"/>
        <v>0.64</v>
      </c>
      <c r="E64" s="19">
        <f t="shared" si="3"/>
        <v>0.66</v>
      </c>
      <c r="F64" s="19">
        <f t="shared" si="3"/>
        <v>0.68</v>
      </c>
      <c r="G64" s="19">
        <f t="shared" si="3"/>
        <v>0.69</v>
      </c>
      <c r="H64" s="19">
        <f t="shared" si="3"/>
        <v>0.7</v>
      </c>
      <c r="I64" s="19">
        <f t="shared" si="3"/>
        <v>0.7</v>
      </c>
      <c r="J64" s="19">
        <f t="shared" si="3"/>
        <v>0.72</v>
      </c>
      <c r="K64" s="19">
        <f t="shared" si="3"/>
        <v>0.72</v>
      </c>
      <c r="L64" s="20"/>
      <c r="M64" s="20"/>
      <c r="N64" s="20"/>
      <c r="O64" s="20"/>
      <c r="P64" s="20"/>
    </row>
    <row r="65" spans="1:16" ht="15" customHeight="1" x14ac:dyDescent="0.2">
      <c r="A65" s="7" t="s">
        <v>688</v>
      </c>
      <c r="C65" s="57">
        <f t="shared" ref="C65:K65" si="4">IF(OR(C62=0,C62=""),"",(C63+C64-C62)/C62)</f>
        <v>0.15493553691634923</v>
      </c>
      <c r="D65" s="57">
        <f t="shared" si="4"/>
        <v>0.18618419172132381</v>
      </c>
      <c r="E65" s="57">
        <f t="shared" si="4"/>
        <v>0.31352278629850899</v>
      </c>
      <c r="F65" s="57">
        <f t="shared" si="4"/>
        <v>4.8783382571161056E-2</v>
      </c>
      <c r="G65" s="57">
        <f t="shared" si="4"/>
        <v>0.20095394803487954</v>
      </c>
      <c r="H65" s="57">
        <f t="shared" si="4"/>
        <v>5.5752527588469596E-2</v>
      </c>
      <c r="I65" s="57">
        <f t="shared" si="4"/>
        <v>0.11427908841462912</v>
      </c>
      <c r="J65" s="57">
        <f t="shared" si="4"/>
        <v>0.26518645945604435</v>
      </c>
      <c r="K65" s="57">
        <f t="shared" si="4"/>
        <v>4.3643969469019522E-3</v>
      </c>
    </row>
    <row r="66" spans="1:16" ht="15" customHeight="1" x14ac:dyDescent="0.2">
      <c r="A66" s="5" t="s">
        <v>689</v>
      </c>
      <c r="C66" s="20">
        <f t="shared" ref="C66:K66" si="5">IF(OR(C62=0,C62=""),"",C64/C62)</f>
        <v>5.92662002798321E-2</v>
      </c>
      <c r="D66" s="20">
        <f t="shared" si="5"/>
        <v>5.5836200892405055E-2</v>
      </c>
      <c r="E66" s="20">
        <f t="shared" si="5"/>
        <v>5.0941022267015967E-2</v>
      </c>
      <c r="F66" s="20">
        <f t="shared" si="5"/>
        <v>4.1569339193411284E-2</v>
      </c>
      <c r="G66" s="20">
        <f t="shared" si="5"/>
        <v>4.1878539405213078E-2</v>
      </c>
      <c r="H66" s="20">
        <f t="shared" si="5"/>
        <v>3.6654625266479328E-2</v>
      </c>
      <c r="I66" s="20">
        <f t="shared" si="5"/>
        <v>3.5967717314462758E-2</v>
      </c>
      <c r="J66" s="20">
        <f t="shared" si="5"/>
        <v>3.4308611939096109E-2</v>
      </c>
      <c r="K66" s="20">
        <f t="shared" si="5"/>
        <v>2.7873287352036535E-2</v>
      </c>
    </row>
    <row r="67" spans="1:16" ht="15" customHeight="1" x14ac:dyDescent="0.2">
      <c r="A67" s="5" t="s">
        <v>690</v>
      </c>
      <c r="B67" s="52"/>
      <c r="C67" s="20">
        <f>IF(OR(B49=0,B44=0,BS!C57=0,Ops!C14=""),"",Ops!C14*(IS!B18/B49)/BS!C57/B44)</f>
        <v>7.8270577805872515E-2</v>
      </c>
      <c r="D67" s="20">
        <f>IF(OR(C49=0,C44=0,BS!D57=0,Ops!D14=""),"",Ops!D14*(IS!C18/C49)/BS!D57/C44)</f>
        <v>9.960051507557055E-2</v>
      </c>
      <c r="E67" s="20">
        <f>IF(OR(D49=0,D44=0,BS!E57=0,Ops!E14=""),"",Ops!E14*(IS!D18/D49)/BS!E57/D44)</f>
        <v>9.0404181135211342E-2</v>
      </c>
      <c r="F67" s="20">
        <f>IF(OR(E49=0,E44=0,BS!F57=0,Ops!F14=""),"",Ops!F14*(IS!E18/E49)/BS!F57/E44)</f>
        <v>4.34836031385031E-2</v>
      </c>
      <c r="G67" s="20">
        <f>IF(OR(F49=0,F44=0,BS!G57=0,Ops!G14=""),"",Ops!G14*(IS!F18/F49)/BS!G57/F44)</f>
        <v>9.8719482900046007E-2</v>
      </c>
      <c r="H67" s="20">
        <f>IF(OR(G49=0,G44=0,BS!H57=0,Ops!H14=""),"",Ops!H14*(IS!G18/G49)/BS!H57/G44)</f>
        <v>8.7549139900396547E-2</v>
      </c>
      <c r="I67" s="20">
        <f>IF(OR(H49=0,H44=0,BS!I57=0,Ops!I14=""),"",Ops!I14*(IS!H18/H49)/BS!I57/H44)</f>
        <v>0.16302314217214189</v>
      </c>
      <c r="J67" s="20">
        <f>IF(OR(I49=0,I44=0,BS!J57=0,Ops!J14=""),"",Ops!J14*(IS!I18/I49)/BS!J57/I44)</f>
        <v>0.1628025854754406</v>
      </c>
      <c r="K67" s="20">
        <f>IF(OR(J49=0,J44=0,BS!K57=0,Ops!K14=""),"",Ops!K14*(IS!J18/J49)/BS!K57/J44)</f>
        <v>0.10120412136788338</v>
      </c>
    </row>
    <row r="68" spans="1:16" ht="15" customHeight="1" x14ac:dyDescent="0.2">
      <c r="A68" s="5" t="s">
        <v>691</v>
      </c>
      <c r="B68" s="57"/>
      <c r="C68" s="20">
        <f t="shared" ref="C68:K68" si="6">IF(OR(C65="",C66="",C67=""),"",C65-C66-C67)</f>
        <v>1.7398758830644623E-2</v>
      </c>
      <c r="D68" s="20">
        <f t="shared" si="6"/>
        <v>3.0747475753348186E-2</v>
      </c>
      <c r="E68" s="20">
        <f t="shared" si="6"/>
        <v>0.17217758289628168</v>
      </c>
      <c r="F68" s="20">
        <f t="shared" si="6"/>
        <v>-3.6269559760753328E-2</v>
      </c>
      <c r="G68" s="20">
        <f t="shared" si="6"/>
        <v>6.0355925729620452E-2</v>
      </c>
      <c r="H68" s="20">
        <f t="shared" si="6"/>
        <v>-6.8451237578406279E-2</v>
      </c>
      <c r="I68" s="20">
        <f t="shared" si="6"/>
        <v>-8.4711771071975528E-2</v>
      </c>
      <c r="J68" s="20">
        <f t="shared" si="6"/>
        <v>6.8075262041507628E-2</v>
      </c>
      <c r="K68" s="20">
        <f t="shared" si="6"/>
        <v>-0.12471301177301797</v>
      </c>
      <c r="L68" s="15"/>
      <c r="M68" s="15"/>
      <c r="N68" s="15"/>
      <c r="O68" s="15"/>
      <c r="P68" s="15"/>
    </row>
    <row r="69" spans="1:16" ht="15" customHeight="1" x14ac:dyDescent="0.2">
      <c r="A69" s="5"/>
      <c r="C69" s="47"/>
      <c r="D69" s="47"/>
      <c r="E69" s="47"/>
      <c r="F69" s="47"/>
      <c r="G69" s="47"/>
      <c r="H69" s="47"/>
      <c r="I69" s="47"/>
      <c r="J69" s="47"/>
      <c r="K69" s="47"/>
      <c r="L69" s="6"/>
      <c r="M69" s="6"/>
      <c r="N69" s="6"/>
      <c r="O69" s="6"/>
      <c r="P69" s="6"/>
    </row>
    <row r="70" spans="1:16" ht="15" customHeight="1" x14ac:dyDescent="0.2">
      <c r="A70" s="7" t="s">
        <v>692</v>
      </c>
      <c r="C70" s="57">
        <f>C65</f>
        <v>0.15493553691634923</v>
      </c>
      <c r="D70" s="57">
        <f t="shared" ref="D70:K70" si="7">IF(OR(D65="",C70=""),"",(1+C70)*(1+D65)-1)</f>
        <v>0.3699662763473528</v>
      </c>
      <c r="E70" s="57">
        <f t="shared" si="7"/>
        <v>0.79948192044276811</v>
      </c>
      <c r="F70" s="57">
        <f t="shared" si="7"/>
        <v>0.88726673539761514</v>
      </c>
      <c r="G70" s="57">
        <f t="shared" si="7"/>
        <v>1.2665204368706644</v>
      </c>
      <c r="H70" s="57">
        <f t="shared" si="7"/>
        <v>1.3928846800571262</v>
      </c>
      <c r="I70" s="57">
        <f t="shared" si="7"/>
        <v>1.666341359975386</v>
      </c>
      <c r="J70" s="57">
        <f t="shared" si="7"/>
        <v>2.3734189849284726</v>
      </c>
      <c r="K70" s="57">
        <f t="shared" si="7"/>
        <v>2.388141924446916</v>
      </c>
      <c r="L70" s="20"/>
      <c r="M70" s="20"/>
      <c r="N70" s="20"/>
      <c r="O70" s="20"/>
      <c r="P70" s="20"/>
    </row>
    <row r="71" spans="1:16" ht="15" customHeight="1" x14ac:dyDescent="0.2">
      <c r="A71" s="7" t="s">
        <v>693</v>
      </c>
      <c r="C71" s="57">
        <f>IF(OR(C70="",C70&lt;=-1),"",POWER(1+C70,1/1)-1)</f>
        <v>0.1549355369163492</v>
      </c>
      <c r="D71" s="57">
        <f>IF(OR(D70="",D70&lt;=-1),"",POWER(1+D70,1/2)-1)</f>
        <v>0.17045558495286484</v>
      </c>
      <c r="E71" s="57">
        <f>IF(OR(E70="",E70&lt;=-1),"",POWER(1+E70,1/3)-1)</f>
        <v>0.2163236818228127</v>
      </c>
      <c r="F71" s="57">
        <f>IF(OR(F70="",F70&lt;=-1),"",POWER(1+F70,1/4)-1)</f>
        <v>0.17208287680501266</v>
      </c>
      <c r="G71" s="57">
        <f>IF(OR(G70="",G70&lt;=-1),"",POWER(1+G70,1/5)-1)</f>
        <v>0.17780102483860039</v>
      </c>
      <c r="H71" s="57">
        <f>IF(OR(H70="",H70&lt;=-1),"",POWER(1+H70,1/6)-1)</f>
        <v>0.15652128000721999</v>
      </c>
      <c r="I71" s="57">
        <f>IF(OR(I70="",I70&lt;=-1),"",POWER(1+I70,1/7)-1)</f>
        <v>0.15039002437735882</v>
      </c>
      <c r="J71" s="57">
        <f>IF(OR(J70="",J70&lt;=-1),"",POWER(1+J70,1/8)-1)</f>
        <v>0.16414957941727049</v>
      </c>
      <c r="K71" s="57">
        <f>IF(OR(K70="",K70&lt;=-1),"",POWER(1+K70,1/9)-1)</f>
        <v>0.1452086549540621</v>
      </c>
      <c r="L71" s="11"/>
      <c r="M71" s="11"/>
      <c r="N71" s="11"/>
      <c r="O71" s="11"/>
      <c r="P71" s="11"/>
    </row>
    <row r="72" spans="1:16" ht="15" customHeight="1" x14ac:dyDescent="0.2">
      <c r="A72" s="5"/>
      <c r="C72" s="19"/>
      <c r="D72" s="19"/>
      <c r="E72" s="19"/>
      <c r="F72" s="19"/>
      <c r="G72" s="19"/>
      <c r="H72" s="19"/>
      <c r="I72" s="19"/>
      <c r="J72" s="19"/>
      <c r="K72" s="19"/>
      <c r="L72" s="16"/>
      <c r="M72" s="16"/>
      <c r="N72" s="16"/>
      <c r="O72" s="16"/>
      <c r="P72" s="16"/>
    </row>
    <row r="73" spans="1:16" ht="15" customHeight="1" x14ac:dyDescent="0.2">
      <c r="A73" s="7" t="s">
        <v>694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6" ht="15" customHeight="1" x14ac:dyDescent="0.2">
      <c r="A74" s="7" t="s">
        <v>688</v>
      </c>
      <c r="C74" s="57">
        <f t="shared" ref="C74:K74" si="8">IF(OR(B45=0,B45=""),"",(C45+C43-B45)/B45)</f>
        <v>0.2428810720268007</v>
      </c>
      <c r="D74" s="57">
        <f t="shared" si="8"/>
        <v>9.6343178621659573E-2</v>
      </c>
      <c r="E74" s="57">
        <f t="shared" si="8"/>
        <v>0.37525083612040133</v>
      </c>
      <c r="F74" s="57">
        <f t="shared" si="8"/>
        <v>-0.10653266331658279</v>
      </c>
      <c r="G74" s="57">
        <f t="shared" si="8"/>
        <v>0.25672514619883041</v>
      </c>
      <c r="H74" s="57">
        <f t="shared" si="8"/>
        <v>-0.11153846153846154</v>
      </c>
      <c r="I74" s="57">
        <f t="shared" si="8"/>
        <v>-7.3115860517435349E-2</v>
      </c>
      <c r="J74" s="57">
        <f t="shared" si="8"/>
        <v>0.39036755386565264</v>
      </c>
      <c r="K74" s="57">
        <f t="shared" si="8"/>
        <v>-0.20075400565504251</v>
      </c>
    </row>
    <row r="75" spans="1:16" ht="15" customHeight="1" x14ac:dyDescent="0.2">
      <c r="A75" s="7" t="s">
        <v>692</v>
      </c>
      <c r="C75" s="57">
        <f>C74</f>
        <v>0.2428810720268007</v>
      </c>
      <c r="D75" s="57">
        <f t="shared" ref="D75:K75" si="9">IF(OR(D74="",C75=""),"",(1+C75)*(1+D74)-1)</f>
        <v>0.36262418515455841</v>
      </c>
      <c r="E75" s="57">
        <f t="shared" si="9"/>
        <v>0.87395004995168679</v>
      </c>
      <c r="F75" s="57">
        <f t="shared" si="9"/>
        <v>0.67431316020809007</v>
      </c>
      <c r="G75" s="57">
        <f t="shared" si="9"/>
        <v>1.104151451045138</v>
      </c>
      <c r="H75" s="57">
        <f t="shared" si="9"/>
        <v>0.86945763535164167</v>
      </c>
      <c r="I75" s="57">
        <f t="shared" si="9"/>
        <v>0.73277063164201661</v>
      </c>
      <c r="J75" s="57">
        <f t="shared" si="9"/>
        <v>1.4091880645263526</v>
      </c>
      <c r="K75" s="57">
        <f t="shared" si="9"/>
        <v>0.92553391019636821</v>
      </c>
    </row>
    <row r="76" spans="1:16" ht="15" customHeight="1" x14ac:dyDescent="0.2">
      <c r="A76" s="7" t="s">
        <v>693</v>
      </c>
      <c r="C76" s="57">
        <f>IF(OR(C75="",C75&lt;=-1),"",POWER(1+C75,1/1)-1)</f>
        <v>0.24288107202680065</v>
      </c>
      <c r="D76" s="57">
        <f>IF(OR(D75="",D75&lt;=-1),"",POWER(1+D75,1/2)-1)</f>
        <v>0.16731494685648496</v>
      </c>
      <c r="E76" s="57">
        <f>IF(OR(E75="",E75&lt;=-1),"",POWER(1+E75,1/3)-1)</f>
        <v>0.23287582534580498</v>
      </c>
      <c r="F76" s="57">
        <f>IF(OR(F75="",F75&lt;=-1),"",POWER(1+F75,1/4)-1)</f>
        <v>0.13752034442717953</v>
      </c>
      <c r="G76" s="57">
        <f>IF(OR(G75="",G75&lt;=-1),"",POWER(1+G75,1/5)-1)</f>
        <v>0.16042051800175261</v>
      </c>
      <c r="H76" s="57">
        <f>IF(OR(H75="",H75&lt;=-1),"",POWER(1+H75,1/6)-1)</f>
        <v>0.10990533255922164</v>
      </c>
      <c r="I76" s="57">
        <f>IF(OR(I75="",I75&lt;=-1),"",POWER(1+I75,1/7)-1)</f>
        <v>8.1697605589210243E-2</v>
      </c>
      <c r="J76" s="57">
        <f>IF(OR(J75="",J75&lt;=-1),"",POWER(1+J75,1/8)-1)</f>
        <v>0.11617897560470891</v>
      </c>
      <c r="K76" s="57">
        <f>IF(OR(K75="",K75&lt;=-1),"",POWER(1+K75,1/9)-1)</f>
        <v>7.5515804911163276E-2</v>
      </c>
    </row>
    <row r="77" spans="1:16" ht="15" customHeight="1" x14ac:dyDescent="0.2">
      <c r="A77" s="5"/>
      <c r="C77" s="20"/>
      <c r="D77" s="20"/>
      <c r="E77" s="20"/>
      <c r="F77" s="20"/>
      <c r="G77" s="20"/>
      <c r="H77" s="20"/>
      <c r="I77" s="20"/>
      <c r="J77" s="20"/>
      <c r="K77" s="20"/>
    </row>
    <row r="78" spans="1:16" ht="15" customHeight="1" x14ac:dyDescent="0.2">
      <c r="A78" s="7" t="s">
        <v>695</v>
      </c>
      <c r="C78" s="20"/>
      <c r="D78" s="20"/>
      <c r="E78" s="20"/>
      <c r="F78" s="20"/>
      <c r="G78" s="20"/>
      <c r="H78" s="20"/>
      <c r="I78" s="20"/>
      <c r="J78" s="20"/>
      <c r="K78" s="20"/>
    </row>
    <row r="79" spans="1:16" ht="15" customHeight="1" x14ac:dyDescent="0.2">
      <c r="A79" s="5" t="s">
        <v>696</v>
      </c>
      <c r="B79" s="52">
        <f>-B44</f>
        <v>-10.461274673803947</v>
      </c>
      <c r="C79" s="52">
        <f t="shared" ref="C79:J79" si="10">C43</f>
        <v>0.62</v>
      </c>
      <c r="D79" s="52">
        <f t="shared" si="10"/>
        <v>0.64</v>
      </c>
      <c r="E79" s="52">
        <f t="shared" si="10"/>
        <v>0.66</v>
      </c>
      <c r="F79" s="52">
        <f t="shared" si="10"/>
        <v>0.68</v>
      </c>
      <c r="G79" s="52">
        <f t="shared" si="10"/>
        <v>0.69</v>
      </c>
      <c r="H79" s="52">
        <f t="shared" si="10"/>
        <v>0.7</v>
      </c>
      <c r="I79" s="52">
        <f t="shared" si="10"/>
        <v>0.7</v>
      </c>
      <c r="J79" s="52">
        <f t="shared" si="10"/>
        <v>0.72</v>
      </c>
      <c r="K79" s="52">
        <f>K43+K44</f>
        <v>25.943921026198357</v>
      </c>
    </row>
    <row r="80" spans="1:16" ht="15" customHeight="1" x14ac:dyDescent="0.2">
      <c r="A80" s="7" t="s">
        <v>697</v>
      </c>
      <c r="B80" s="57">
        <f>IRR(B79:K79)</f>
        <v>0.14858725033813025</v>
      </c>
      <c r="C80" s="57"/>
      <c r="D80" s="57"/>
      <c r="E80" s="57"/>
      <c r="F80" s="57"/>
      <c r="G80" s="57"/>
      <c r="H80" s="57"/>
      <c r="I80" s="57"/>
      <c r="J80" s="57"/>
      <c r="K80" s="57"/>
    </row>
    <row r="81" spans="1:16" ht="15" customHeight="1" x14ac:dyDescent="0.2">
      <c r="A81" s="5" t="s">
        <v>698</v>
      </c>
      <c r="B81" s="52">
        <f>-B45</f>
        <v>-11.94</v>
      </c>
      <c r="C81" s="52">
        <f t="shared" ref="C81:J81" si="11">C43</f>
        <v>0.62</v>
      </c>
      <c r="D81" s="52">
        <f t="shared" si="11"/>
        <v>0.64</v>
      </c>
      <c r="E81" s="52">
        <f t="shared" si="11"/>
        <v>0.66</v>
      </c>
      <c r="F81" s="52">
        <f t="shared" si="11"/>
        <v>0.68</v>
      </c>
      <c r="G81" s="52">
        <f t="shared" si="11"/>
        <v>0.69</v>
      </c>
      <c r="H81" s="52">
        <f t="shared" si="11"/>
        <v>0.7</v>
      </c>
      <c r="I81" s="52">
        <f t="shared" si="11"/>
        <v>0.7</v>
      </c>
      <c r="J81" s="52">
        <f t="shared" si="11"/>
        <v>0.72</v>
      </c>
      <c r="K81" s="52">
        <f>K43+K45</f>
        <v>16.959999999999997</v>
      </c>
      <c r="L81" s="19"/>
      <c r="M81" s="19"/>
      <c r="N81" s="19"/>
      <c r="O81" s="19"/>
      <c r="P81" s="19"/>
    </row>
    <row r="82" spans="1:16" ht="15" customHeight="1" x14ac:dyDescent="0.2">
      <c r="A82" s="7" t="s">
        <v>697</v>
      </c>
      <c r="B82" s="57">
        <f>IRR(B81:K81)</f>
        <v>8.4750541170180771E-2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 ht="15" customHeight="1" x14ac:dyDescent="0.2">
      <c r="A83" s="7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 ht="15" customHeight="1" x14ac:dyDescent="0.2">
      <c r="A84" s="18" t="s">
        <v>699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11"/>
      <c r="M84" s="11"/>
      <c r="N84" s="11"/>
      <c r="O84" s="11"/>
      <c r="P84" s="11"/>
    </row>
    <row r="85" spans="1:16" ht="15" customHeight="1" x14ac:dyDescent="0.2">
      <c r="A85" s="5" t="s">
        <v>700</v>
      </c>
      <c r="B85" s="57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ht="15" customHeight="1" x14ac:dyDescent="0.2">
      <c r="A86" s="7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ht="15" customHeight="1" x14ac:dyDescent="0.2">
      <c r="A87" s="7" t="s">
        <v>701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15" customHeight="1" x14ac:dyDescent="0.2">
      <c r="A88" s="5" t="s">
        <v>702</v>
      </c>
      <c r="B88" s="19">
        <f>BS!K62</f>
        <v>16.239999999999998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15" customHeight="1" x14ac:dyDescent="0.2">
      <c r="A89" s="5" t="s">
        <v>703</v>
      </c>
      <c r="B89" s="19">
        <f>BS!K59</f>
        <v>25.223921026198358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15" customHeight="1" x14ac:dyDescent="0.2">
      <c r="A90" s="5" t="s">
        <v>704</v>
      </c>
      <c r="B90" s="20">
        <f>-(1-B88/B89)</f>
        <v>-0.35616671241823883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15" customHeight="1" x14ac:dyDescent="0.2">
      <c r="A91" s="7" t="s">
        <v>705</v>
      </c>
      <c r="B91" s="52">
        <f>BS!K58</f>
        <v>25.191207948778466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15" customHeight="1" x14ac:dyDescent="0.2">
      <c r="A92" s="7" t="s">
        <v>706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15" customHeight="1" x14ac:dyDescent="0.2">
      <c r="A93" s="5" t="s">
        <v>685</v>
      </c>
      <c r="C93" s="20"/>
      <c r="D93" s="20"/>
      <c r="E93" s="20"/>
      <c r="F93" s="20"/>
      <c r="G93" s="20"/>
      <c r="H93" s="20"/>
      <c r="I93" s="20"/>
      <c r="J93" s="20"/>
      <c r="K93" s="20"/>
      <c r="L93" s="19">
        <f>B91</f>
        <v>25.191207948778466</v>
      </c>
      <c r="M93" s="19">
        <f>L44</f>
        <v>22.75077909354253</v>
      </c>
      <c r="N93" s="19">
        <f>M44</f>
        <v>23.834858789591085</v>
      </c>
      <c r="O93" s="19">
        <f>N44</f>
        <v>24.977852649230762</v>
      </c>
      <c r="P93" s="19">
        <f>O44</f>
        <v>26.18599708094812</v>
      </c>
    </row>
    <row r="94" spans="1:16" ht="15" customHeight="1" x14ac:dyDescent="0.2">
      <c r="A94" s="5" t="s">
        <v>686</v>
      </c>
      <c r="C94" s="20"/>
      <c r="D94" s="20"/>
      <c r="E94" s="20"/>
      <c r="F94" s="20"/>
      <c r="G94" s="20"/>
      <c r="H94" s="20"/>
      <c r="I94" s="20"/>
      <c r="J94" s="20"/>
      <c r="K94" s="20"/>
      <c r="L94" s="19">
        <f>L44</f>
        <v>22.75077909354253</v>
      </c>
      <c r="M94" s="19">
        <f>M44</f>
        <v>23.834858789591085</v>
      </c>
      <c r="N94" s="19">
        <f>N44</f>
        <v>24.977852649230762</v>
      </c>
      <c r="O94" s="19">
        <f>O44</f>
        <v>26.18599708094812</v>
      </c>
      <c r="P94" s="19">
        <f>P44</f>
        <v>27.453775858511815</v>
      </c>
    </row>
    <row r="95" spans="1:16" ht="15" customHeight="1" x14ac:dyDescent="0.2">
      <c r="A95" s="5" t="s">
        <v>687</v>
      </c>
      <c r="C95" s="20"/>
      <c r="D95" s="20"/>
      <c r="E95" s="20"/>
      <c r="F95" s="20"/>
      <c r="G95" s="20"/>
      <c r="H95" s="20"/>
      <c r="I95" s="20"/>
      <c r="J95" s="20"/>
      <c r="K95" s="20"/>
      <c r="L95" s="19">
        <f>L43</f>
        <v>0.72</v>
      </c>
      <c r="M95" s="19">
        <f>M43</f>
        <v>0.72</v>
      </c>
      <c r="N95" s="19">
        <f>N43</f>
        <v>0.72</v>
      </c>
      <c r="O95" s="19">
        <f>O43</f>
        <v>0.72</v>
      </c>
      <c r="P95" s="19">
        <f>P43</f>
        <v>0.72</v>
      </c>
    </row>
    <row r="96" spans="1:16" ht="15" customHeight="1" x14ac:dyDescent="0.2">
      <c r="A96" s="7" t="s">
        <v>688</v>
      </c>
      <c r="C96" s="16"/>
      <c r="D96" s="16"/>
      <c r="E96" s="16"/>
      <c r="F96" s="16"/>
      <c r="G96" s="16"/>
      <c r="H96" s="16"/>
      <c r="I96" s="16"/>
      <c r="J96" s="16"/>
      <c r="K96" s="16"/>
      <c r="L96" s="57">
        <f>IF(OR(L93=0,L93=""),"",(L94+L95-L93)/L93)</f>
        <v>-6.8294813759391865E-2</v>
      </c>
      <c r="M96" s="57">
        <f>IF(OR(M93=0,M93=""),"",(M94+M95-M93)/M93)</f>
        <v>7.9297490808155E-2</v>
      </c>
      <c r="N96" s="57">
        <f>IF(OR(N93=0,N93=""),"",(N94+N95-N93)/N93)</f>
        <v>7.8162571722609236E-2</v>
      </c>
      <c r="O96" s="57">
        <f>IF(OR(O93=0,O93=""),"",(O94+O95-O93)/O93)</f>
        <v>7.719416311700987E-2</v>
      </c>
      <c r="P96" s="57">
        <f>IF(OR(P93=0,P93=""),"",(P94+P95-P93)/P93)</f>
        <v>7.5909990038527955E-2</v>
      </c>
    </row>
    <row r="97" spans="1:16" ht="15" customHeight="1" x14ac:dyDescent="0.2">
      <c r="A97" s="5" t="s">
        <v>689</v>
      </c>
      <c r="C97" s="11"/>
      <c r="D97" s="11"/>
      <c r="E97" s="11"/>
      <c r="F97" s="11"/>
      <c r="G97" s="11"/>
      <c r="H97" s="11"/>
      <c r="I97" s="11"/>
      <c r="J97" s="11"/>
      <c r="K97" s="11"/>
      <c r="L97" s="20">
        <f>IF(OR(L93=0,L93=""),"",L95/L93)</f>
        <v>2.8581400362538516E-2</v>
      </c>
      <c r="M97" s="20">
        <f>IF(OR(M93=0,M93=""),"",M95/M93)</f>
        <v>3.1647267860130612E-2</v>
      </c>
      <c r="N97" s="20">
        <f>IF(OR(N93=0,N93=""),"",N95/N93)</f>
        <v>3.0207856751156042E-2</v>
      </c>
      <c r="O97" s="20">
        <f>IF(OR(O93=0,O93=""),"",O95/O93)</f>
        <v>2.8825536370604449E-2</v>
      </c>
      <c r="P97" s="20">
        <f>IF(OR(P93=0,P93=""),"",P95/P93)</f>
        <v>2.7495611405373717E-2</v>
      </c>
    </row>
    <row r="98" spans="1:16" ht="15" customHeight="1" x14ac:dyDescent="0.2">
      <c r="A98" s="5" t="s">
        <v>707</v>
      </c>
      <c r="C98" s="22"/>
      <c r="D98" s="22"/>
      <c r="E98" s="22"/>
      <c r="F98" s="22"/>
      <c r="G98" s="22"/>
      <c r="H98" s="22"/>
      <c r="I98" s="22"/>
      <c r="J98" s="22"/>
      <c r="K98" s="22"/>
      <c r="L98" s="20">
        <f>IF(OR(L93=0,L93=""),"",(L94-L93)/L93)</f>
        <v>-9.6876214121930329E-2</v>
      </c>
      <c r="M98" s="20">
        <f>IF(OR(M93=0,M93=""),"",(M94-M93)/M93)</f>
        <v>4.7650222948024436E-2</v>
      </c>
      <c r="N98" s="20">
        <f>IF(OR(N93=0,N93=""),"",(N94-N93)/N93)</f>
        <v>4.795471497145324E-2</v>
      </c>
      <c r="O98" s="20">
        <f>IF(OR(O93=0,O93=""),"",(O94-O93)/O93)</f>
        <v>4.836862674640547E-2</v>
      </c>
      <c r="P98" s="20">
        <f>IF(OR(P93=0,P93=""),"",(P94-P93)/P93)</f>
        <v>4.841437863315428E-2</v>
      </c>
    </row>
    <row r="99" spans="1:16" ht="15" customHeight="1" x14ac:dyDescent="0.2">
      <c r="A99" s="7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ht="15" customHeight="1" x14ac:dyDescent="0.2">
      <c r="A100" s="18" t="s">
        <v>708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15" customHeight="1" x14ac:dyDescent="0.2">
      <c r="A101" s="5" t="s">
        <v>709</v>
      </c>
      <c r="B101" s="15">
        <f>B90</f>
        <v>-0.35616671241823883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7"/>
      <c r="M101" s="52"/>
      <c r="N101" s="52"/>
      <c r="O101" s="52"/>
      <c r="P101" s="52"/>
    </row>
    <row r="102" spans="1:16" ht="15" customHeight="1" x14ac:dyDescent="0.2">
      <c r="A102" s="5" t="s">
        <v>710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52">
        <f>L44*(1+$B$101)</f>
        <v>14.647708898841888</v>
      </c>
      <c r="M102" s="52">
        <f>M44*(1+$B$101)</f>
        <v>15.345675493549464</v>
      </c>
      <c r="N102" s="52">
        <f>N44*(1+$B$101)</f>
        <v>16.081572987887043</v>
      </c>
      <c r="O102" s="52">
        <f>O44*(1+$B$101)</f>
        <v>16.859416589233231</v>
      </c>
      <c r="P102" s="52">
        <f>P44*(1+$B$101)</f>
        <v>17.675654767518449</v>
      </c>
    </row>
    <row r="103" spans="1:16" ht="15" customHeight="1" x14ac:dyDescent="0.2">
      <c r="A103" s="7"/>
      <c r="C103" s="58"/>
      <c r="D103" s="58"/>
      <c r="E103" s="58"/>
      <c r="F103" s="58"/>
      <c r="G103" s="58"/>
      <c r="H103" s="58"/>
      <c r="I103" s="58"/>
      <c r="J103" s="58"/>
      <c r="K103" s="58"/>
      <c r="L103" s="57"/>
      <c r="M103" s="57"/>
      <c r="N103" s="57"/>
      <c r="O103" s="57"/>
      <c r="P103" s="57"/>
    </row>
    <row r="104" spans="1:16" ht="15" customHeight="1" x14ac:dyDescent="0.2">
      <c r="A104" s="7" t="s">
        <v>711</v>
      </c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  <row r="105" spans="1:16" ht="15" customHeight="1" x14ac:dyDescent="0.2">
      <c r="A105" s="5" t="s">
        <v>712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20">
        <f>IF($B$88=0,"",(L102+L43-$B$88)/$B$88)</f>
        <v>-5.3712506228947667E-2</v>
      </c>
      <c r="M105" s="20">
        <f>IF(L102=0,"",(M102+M43-L102)/L102)</f>
        <v>9.6804667849433174E-2</v>
      </c>
      <c r="N105" s="20">
        <f>IF(M102=0,"",(N102+N43-M102)/M102)</f>
        <v>9.4873470701863985E-2</v>
      </c>
      <c r="O105" s="20">
        <f>IF(N102=0,"",(O102+O43-N102)/N102)</f>
        <v>9.3140366460071539E-2</v>
      </c>
      <c r="P105" s="20">
        <f>IF(O102=0,"",(P102+P43-O102)/O102)</f>
        <v>9.1120482737598998E-2</v>
      </c>
    </row>
    <row r="106" spans="1:16" ht="15" customHeight="1" x14ac:dyDescent="0.2">
      <c r="A106" s="7" t="s">
        <v>692</v>
      </c>
      <c r="C106" s="58"/>
      <c r="D106" s="58"/>
      <c r="E106" s="58"/>
      <c r="F106" s="58"/>
      <c r="G106" s="58"/>
      <c r="H106" s="58"/>
      <c r="I106" s="58"/>
      <c r="J106" s="58"/>
      <c r="K106" s="58"/>
      <c r="L106" s="57">
        <f>L105</f>
        <v>-5.3712506228947667E-2</v>
      </c>
      <c r="M106" s="57">
        <f>IF(OR(M105="",L106=""),"",(1+L106)*(1+M105)-1)</f>
        <v>3.7892540295631605E-2</v>
      </c>
      <c r="N106" s="57">
        <f>IF(OR(N105="",M106=""),"",(1+M106)*(1+N105)-1)</f>
        <v>0.13636100780905225</v>
      </c>
      <c r="O106" s="57">
        <f>IF(OR(O105="",N106=""),"",(1+N106)*(1+O105)-1)</f>
        <v>0.24220208850732372</v>
      </c>
      <c r="P106" s="57">
        <f>IF(OR(P105="",O106=""),"",(1+O106)*(1+P105)-1)</f>
        <v>0.3553921424697648</v>
      </c>
    </row>
    <row r="107" spans="1:16" ht="15" customHeight="1" x14ac:dyDescent="0.2">
      <c r="A107" s="7" t="s">
        <v>693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57">
        <f>IF(OR(L106="",L106&lt;=-1),"",POWER(1+L106,1/1)-1)</f>
        <v>-5.3712506228947632E-2</v>
      </c>
      <c r="M107" s="57">
        <f>IF(OR(M106="",M106&lt;=-1),"",POWER(1+M106,1/2)-1)</f>
        <v>1.8770111603020778E-2</v>
      </c>
      <c r="N107" s="57">
        <f>IF(OR(N106="",N106&lt;=-1),"",POWER(1+N106,1/3)-1)</f>
        <v>4.3531206603278916E-2</v>
      </c>
      <c r="O107" s="57">
        <f>IF(OR(O106="",O106&lt;=-1),"",POWER(1+O106,1/4)-1)</f>
        <v>5.5718334074796649E-2</v>
      </c>
      <c r="P107" s="57">
        <f>IF(OR(P106="",P106&lt;=-1),"",POWER(1+P106,1/5)-1)</f>
        <v>6.2705657727109898E-2</v>
      </c>
    </row>
    <row r="108" spans="1:16" ht="15" customHeight="1" x14ac:dyDescent="0.2">
      <c r="A108" s="7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</row>
    <row r="109" spans="1:16" ht="15" customHeight="1" x14ac:dyDescent="0.2">
      <c r="A109" s="7" t="s">
        <v>713</v>
      </c>
      <c r="C109" s="47"/>
      <c r="D109" s="47"/>
      <c r="E109" s="47"/>
      <c r="F109" s="47"/>
      <c r="G109" s="47"/>
      <c r="H109" s="47"/>
      <c r="I109" s="47"/>
      <c r="J109" s="47"/>
      <c r="K109" s="47"/>
      <c r="L109" s="15"/>
      <c r="M109" s="15"/>
      <c r="N109" s="15"/>
      <c r="O109" s="15"/>
      <c r="P109" s="15"/>
    </row>
    <row r="110" spans="1:16" ht="15" customHeight="1" x14ac:dyDescent="0.2">
      <c r="A110" s="5" t="s">
        <v>712</v>
      </c>
      <c r="C110" s="58"/>
      <c r="D110" s="58"/>
      <c r="E110" s="58"/>
      <c r="F110" s="58"/>
      <c r="G110" s="58"/>
      <c r="H110" s="58"/>
      <c r="I110" s="58"/>
      <c r="J110" s="58"/>
      <c r="K110" s="58"/>
      <c r="L110" s="20">
        <f>IF($B$88=0,"",(L44+L43-$B$88)/$B$88)</f>
        <v>0.445245018075279</v>
      </c>
      <c r="M110" s="20">
        <f>IF(L44=0,"",(M44+M43-L44)/L44)</f>
        <v>7.9297490808155E-2</v>
      </c>
      <c r="N110" s="20">
        <f>IF(M44=0,"",(N44+N43-M44)/M44)</f>
        <v>7.8162571722609236E-2</v>
      </c>
      <c r="O110" s="20">
        <f>IF(N44=0,"",(O44+O43-N44)/N44)</f>
        <v>7.719416311700987E-2</v>
      </c>
      <c r="P110" s="20">
        <f>IF(O44=0,"",(P44+P43-O44)/O44)</f>
        <v>7.5909990038527955E-2</v>
      </c>
    </row>
    <row r="111" spans="1:16" ht="15" customHeight="1" x14ac:dyDescent="0.2">
      <c r="A111" s="7" t="s">
        <v>692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57">
        <f>L110</f>
        <v>0.445245018075279</v>
      </c>
      <c r="M111" s="57">
        <f>IF(OR(M110="",L111=""),"",(1+L111)*(1+M110)-1)</f>
        <v>0.55984932161163514</v>
      </c>
      <c r="N111" s="57">
        <f>IF(OR(N110="",M111=""),"",(1+M111)*(1+N110)-1)</f>
        <v>0.68177115608856798</v>
      </c>
      <c r="O111" s="57">
        <f>IF(OR(O110="",N111=""),"",(1+N111)*(1+O110)-1)</f>
        <v>0.81159407303715114</v>
      </c>
      <c r="P111" s="57">
        <f>IF(OR(P110="",O111=""),"",(1+O111)*(1+P110)-1)</f>
        <v>0.94911216107525775</v>
      </c>
    </row>
    <row r="112" spans="1:16" ht="15" customHeight="1" x14ac:dyDescent="0.2">
      <c r="A112" s="7" t="s">
        <v>693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7">
        <f>IF(OR(L111="",L111&lt;=-1),"",POWER(1+L111,1/1)-1)</f>
        <v>0.44524501807527894</v>
      </c>
      <c r="M112" s="57">
        <f>IF(OR(M111="",M111&lt;=-1),"",POWER(1+M111,1/2)-1)</f>
        <v>0.24893927859269249</v>
      </c>
      <c r="N112" s="57">
        <f>IF(OR(N111="",N111&lt;=-1),"",POWER(1+N111,1/3)-1)</f>
        <v>0.18920200627125605</v>
      </c>
      <c r="O112" s="57">
        <f>IF(OR(O111="",O111&lt;=-1),"",POWER(1+O111,1/4)-1)</f>
        <v>0.16015288083254098</v>
      </c>
      <c r="P112" s="57">
        <f>IF(OR(P111="",P111&lt;=-1),"",POWER(1+P111,1/5)-1)</f>
        <v>0.14279245983256161</v>
      </c>
    </row>
    <row r="113" spans="1:16" ht="15" customHeight="1" x14ac:dyDescent="0.2">
      <c r="A113" s="18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1:16" ht="15" customHeight="1" x14ac:dyDescent="0.2">
      <c r="A114" s="7" t="s">
        <v>714</v>
      </c>
    </row>
    <row r="115" spans="1:16" ht="15" customHeight="1" x14ac:dyDescent="0.2">
      <c r="A115" s="5" t="s">
        <v>715</v>
      </c>
      <c r="B115" s="24">
        <f>Amplification!G190</f>
        <v>48.190233590568177</v>
      </c>
    </row>
    <row r="116" spans="1:16" ht="15" customHeight="1" x14ac:dyDescent="0.2">
      <c r="A116" s="7" t="s">
        <v>92</v>
      </c>
      <c r="B116" s="57">
        <f>IF(OR(P107="",B115=""),"",P107-ABS(B115)/10000)</f>
        <v>5.788663436805308E-2</v>
      </c>
      <c r="K116" s="58"/>
    </row>
    <row r="117" spans="1:16" ht="15" customHeight="1" x14ac:dyDescent="0.2">
      <c r="A117" s="7" t="s">
        <v>93</v>
      </c>
      <c r="B117" s="57">
        <f>IF(OR(P112="",B115=""),"",P112-ABS(B115)/10000)</f>
        <v>0.1379734364735048</v>
      </c>
      <c r="K117" s="58"/>
    </row>
    <row r="118" spans="1:16" ht="15" customHeight="1" x14ac:dyDescent="0.2">
      <c r="A118" s="5"/>
      <c r="K118" s="58"/>
    </row>
    <row r="119" spans="1:16" ht="15" customHeight="1" x14ac:dyDescent="0.2">
      <c r="A119" s="5" t="s">
        <v>716</v>
      </c>
      <c r="K119" s="58"/>
      <c r="L119" s="20">
        <f>IF($B$88=0,"",L43/$B$88)</f>
        <v>4.4334975369458129E-2</v>
      </c>
      <c r="M119" s="20">
        <f>IF($B$88=0,"",M43/$B$88)</f>
        <v>4.4334975369458129E-2</v>
      </c>
      <c r="N119" s="20">
        <f>IF($B$88=0,"",N43/$B$88)</f>
        <v>4.4334975369458129E-2</v>
      </c>
      <c r="O119" s="20">
        <f>IF($B$88=0,"",O43/$B$88)</f>
        <v>4.4334975369458129E-2</v>
      </c>
      <c r="P119" s="20">
        <f>IF($B$88=0,"",P43/$B$88)</f>
        <v>4.4334975369458129E-2</v>
      </c>
    </row>
    <row r="120" spans="1:16" ht="15" customHeight="1" x14ac:dyDescent="0.2">
      <c r="A120" s="7"/>
      <c r="K120" s="58"/>
    </row>
    <row r="121" spans="1:16" ht="15" customHeight="1" x14ac:dyDescent="0.2">
      <c r="A121" s="18" t="s">
        <v>717</v>
      </c>
      <c r="B121" s="24"/>
      <c r="K121" s="58"/>
    </row>
    <row r="122" spans="1:16" ht="15" customHeight="1" x14ac:dyDescent="0.2">
      <c r="A122" s="5" t="s">
        <v>86</v>
      </c>
      <c r="B122" s="57"/>
      <c r="K122" s="58"/>
      <c r="L122" s="15">
        <f>Ops!L14</f>
        <v>0</v>
      </c>
      <c r="M122" s="15">
        <f>Ops!M14</f>
        <v>0</v>
      </c>
      <c r="N122" s="15">
        <f>Ops!N14</f>
        <v>0</v>
      </c>
      <c r="O122" s="15">
        <f>Ops!O14</f>
        <v>0</v>
      </c>
      <c r="P122" s="15">
        <f>Ops!P14</f>
        <v>0</v>
      </c>
    </row>
    <row r="123" spans="1:16" ht="15" customHeight="1" x14ac:dyDescent="0.2">
      <c r="A123" s="5" t="s">
        <v>718</v>
      </c>
      <c r="B123" s="57"/>
      <c r="K123" s="58"/>
      <c r="L123" s="20">
        <f>IF(K37=0,"",(L37-K37)/K37)</f>
        <v>3.999047168041301E-2</v>
      </c>
      <c r="M123" s="20">
        <f>IF(L37=0,"",(M37-L37)/L37)</f>
        <v>1.1970443349753728E-2</v>
      </c>
      <c r="N123" s="20">
        <f>IF(M37=0,"",(N37-M37)/M37)</f>
        <v>1.1970443349753706E-2</v>
      </c>
      <c r="O123" s="20">
        <f>IF(N37=0,"",(O37-N37)/N37)</f>
        <v>1.1970443349753647E-2</v>
      </c>
      <c r="P123" s="20">
        <f>IF(O37=0,"",(P37-O37)/O37)</f>
        <v>1.1970443349753657E-2</v>
      </c>
    </row>
    <row r="124" spans="1:16" ht="15" customHeight="1" x14ac:dyDescent="0.2">
      <c r="A124" s="5" t="s">
        <v>682</v>
      </c>
      <c r="K124" s="58"/>
      <c r="L124" s="16">
        <f>Assumptions!B48</f>
        <v>3.6544563907115066E-2</v>
      </c>
      <c r="M124" s="16">
        <f>Assumptions!C48</f>
        <v>3.6358153547277811E-2</v>
      </c>
      <c r="N124" s="16">
        <f>Assumptions!D48</f>
        <v>3.6691499343126259E-2</v>
      </c>
      <c r="O124" s="16">
        <f>Assumptions!E48</f>
        <v>3.6277844920995915E-2</v>
      </c>
      <c r="P124" s="16">
        <f>Assumptions!F48</f>
        <v>3.6405785305492377E-2</v>
      </c>
    </row>
    <row r="125" spans="1:16" ht="15" customHeight="1" x14ac:dyDescent="0.2">
      <c r="A125" s="5" t="s">
        <v>68</v>
      </c>
      <c r="K125" s="58"/>
      <c r="L125" s="25">
        <f>L55</f>
        <v>9.5201750778945957</v>
      </c>
      <c r="M125" s="25">
        <f>M55</f>
        <v>9.1522315105139107</v>
      </c>
      <c r="N125" s="25">
        <f>N55</f>
        <v>8.7707427125204784</v>
      </c>
      <c r="O125" s="25">
        <f>O55</f>
        <v>8.3875137297053115</v>
      </c>
      <c r="P125" s="25">
        <f>P55</f>
        <v>7.9914271499551637</v>
      </c>
    </row>
    <row r="126" spans="1:16" ht="15" customHeight="1" x14ac:dyDescent="0.2">
      <c r="A126" s="5"/>
      <c r="K126" s="58"/>
    </row>
    <row r="127" spans="1:16" ht="15" customHeight="1" x14ac:dyDescent="0.2">
      <c r="A127" s="7"/>
      <c r="K127" s="58"/>
    </row>
    <row r="128" spans="1:16" ht="15" customHeight="1" x14ac:dyDescent="0.2">
      <c r="A128" s="5"/>
      <c r="K128" s="58"/>
    </row>
    <row r="129" spans="1:11" ht="15" customHeight="1" x14ac:dyDescent="0.2">
      <c r="A129" s="5"/>
      <c r="K129" s="58"/>
    </row>
    <row r="130" spans="1:11" ht="15" customHeight="1" x14ac:dyDescent="0.2">
      <c r="A130" s="5"/>
      <c r="K130" s="58"/>
    </row>
    <row r="131" spans="1:11" ht="15" customHeight="1" x14ac:dyDescent="0.2">
      <c r="A131" s="5"/>
      <c r="K131" s="58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showGridLines="0" zoomScaleNormal="100" workbookViewId="0"/>
  </sheetViews>
  <sheetFormatPr baseColWidth="10" defaultColWidth="8.6640625" defaultRowHeight="15" x14ac:dyDescent="0.2"/>
  <cols>
    <col min="1" max="1" width="48" customWidth="1"/>
    <col min="2" max="16" width="14" customWidth="1"/>
  </cols>
  <sheetData>
    <row r="1" spans="1:4" ht="15" customHeight="1" x14ac:dyDescent="0.2">
      <c r="A1" t="s">
        <v>233</v>
      </c>
    </row>
    <row r="2" spans="1:4" ht="15" customHeight="1" x14ac:dyDescent="0.2">
      <c r="A2" t="s">
        <v>719</v>
      </c>
    </row>
    <row r="3" spans="1:4" ht="15" customHeight="1" x14ac:dyDescent="0.2">
      <c r="A3" t="s">
        <v>720</v>
      </c>
    </row>
    <row r="5" spans="1:4" ht="15" customHeight="1" x14ac:dyDescent="0.2">
      <c r="A5" t="s">
        <v>721</v>
      </c>
      <c r="B5" t="s">
        <v>722</v>
      </c>
      <c r="C5" t="s">
        <v>723</v>
      </c>
      <c r="D5" t="s">
        <v>724</v>
      </c>
    </row>
    <row r="6" spans="1:4" ht="15" customHeight="1" x14ac:dyDescent="0.2">
      <c r="A6" s="59">
        <v>2026</v>
      </c>
      <c r="B6" s="39">
        <v>301769</v>
      </c>
      <c r="C6" s="37">
        <v>2.7E-2</v>
      </c>
      <c r="D6" s="4">
        <f>B6/B12</f>
        <v>0.13296061176976506</v>
      </c>
    </row>
    <row r="7" spans="1:4" ht="15" customHeight="1" x14ac:dyDescent="0.2">
      <c r="A7" s="59">
        <v>2027</v>
      </c>
      <c r="B7" s="39">
        <v>192471</v>
      </c>
      <c r="C7" s="37">
        <v>3.8399999999999997E-2</v>
      </c>
      <c r="D7" s="4">
        <f>B7/B12</f>
        <v>8.4803481828612109E-2</v>
      </c>
    </row>
    <row r="8" spans="1:4" ht="15" customHeight="1" x14ac:dyDescent="0.2">
      <c r="A8" s="59">
        <v>2028</v>
      </c>
      <c r="B8" s="39">
        <v>480037</v>
      </c>
      <c r="C8" s="37">
        <v>4.1000000000000002E-2</v>
      </c>
      <c r="D8" s="4">
        <f>B8/B12</f>
        <v>0.21150619577266952</v>
      </c>
    </row>
    <row r="9" spans="1:4" ht="15" customHeight="1" x14ac:dyDescent="0.2">
      <c r="A9" s="59">
        <v>2029</v>
      </c>
      <c r="B9" s="39">
        <v>280011</v>
      </c>
      <c r="C9" s="37">
        <v>3.9100000000000003E-2</v>
      </c>
      <c r="D9" s="4">
        <f>B9/B12</f>
        <v>0.12337395114230978</v>
      </c>
    </row>
    <row r="10" spans="1:4" ht="15" customHeight="1" x14ac:dyDescent="0.2">
      <c r="A10" s="59">
        <v>2030</v>
      </c>
      <c r="B10" s="39">
        <v>395355</v>
      </c>
      <c r="C10" s="37">
        <v>3.0599999999999999E-2</v>
      </c>
      <c r="D10" s="4">
        <f>B10/B12</f>
        <v>0.1741949725327501</v>
      </c>
    </row>
    <row r="11" spans="1:4" ht="15" customHeight="1" x14ac:dyDescent="0.2">
      <c r="A11" s="59" t="s">
        <v>725</v>
      </c>
      <c r="B11" s="39">
        <v>619969</v>
      </c>
      <c r="C11" s="37">
        <v>3.6900000000000002E-2</v>
      </c>
      <c r="D11" s="4">
        <f>B11/B12</f>
        <v>0.27316078695389345</v>
      </c>
    </row>
    <row r="12" spans="1:4" ht="15" customHeight="1" x14ac:dyDescent="0.2">
      <c r="A12" t="s">
        <v>726</v>
      </c>
      <c r="B12" s="9">
        <f>SUM(B6:B11)</f>
        <v>2269612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2"/>
  <sheetViews>
    <sheetView zoomScaleNormal="100" workbookViewId="0"/>
  </sheetViews>
  <sheetFormatPr baseColWidth="10" defaultColWidth="8.83203125" defaultRowHeight="15" x14ac:dyDescent="0.2"/>
  <sheetData>
    <row r="1" spans="1:11" ht="15" customHeight="1" x14ac:dyDescent="0.2">
      <c r="A1" s="7" t="s">
        <v>233</v>
      </c>
    </row>
    <row r="2" spans="1:11" ht="15" customHeight="1" x14ac:dyDescent="0.2">
      <c r="A2" s="7" t="s">
        <v>727</v>
      </c>
    </row>
    <row r="4" spans="1:11" ht="15" customHeight="1" x14ac:dyDescent="0.2"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6" spans="1:11" ht="15" customHeight="1" x14ac:dyDescent="0.2">
      <c r="A6" s="18" t="s">
        <v>728</v>
      </c>
    </row>
    <row r="8" spans="1:11" ht="15" customHeight="1" x14ac:dyDescent="0.2">
      <c r="A8" s="5" t="s">
        <v>729</v>
      </c>
      <c r="B8" s="44">
        <v>45676</v>
      </c>
      <c r="C8" s="44">
        <v>55507</v>
      </c>
      <c r="D8" s="44">
        <v>80226</v>
      </c>
      <c r="E8" s="44">
        <v>37163</v>
      </c>
      <c r="F8" s="44">
        <v>46867</v>
      </c>
      <c r="G8" s="44">
        <v>128100</v>
      </c>
      <c r="H8" s="44">
        <v>201319</v>
      </c>
      <c r="I8" s="44">
        <v>135196</v>
      </c>
      <c r="J8" s="44">
        <v>44621</v>
      </c>
      <c r="K8" s="44">
        <v>91114</v>
      </c>
    </row>
    <row r="9" spans="1:11" ht="15" customHeight="1" x14ac:dyDescent="0.2">
      <c r="A9" s="5" t="s">
        <v>730</v>
      </c>
      <c r="B9" s="44">
        <v>25324</v>
      </c>
      <c r="C9" s="44">
        <v>0</v>
      </c>
      <c r="D9" s="44">
        <v>60477</v>
      </c>
      <c r="E9" s="44">
        <v>38390</v>
      </c>
      <c r="F9" s="44">
        <v>81975</v>
      </c>
      <c r="G9" s="44">
        <v>77962</v>
      </c>
      <c r="H9" s="44">
        <v>80077</v>
      </c>
      <c r="I9" s="44">
        <v>49947</v>
      </c>
      <c r="J9" s="44">
        <v>52192</v>
      </c>
      <c r="K9" s="44">
        <v>74066</v>
      </c>
    </row>
    <row r="10" spans="1:11" ht="15" customHeight="1" x14ac:dyDescent="0.2">
      <c r="A10" s="5" t="s">
        <v>731</v>
      </c>
      <c r="B10" s="44">
        <v>0</v>
      </c>
      <c r="C10" s="44">
        <v>0</v>
      </c>
      <c r="D10" s="44">
        <v>0</v>
      </c>
      <c r="E10" s="44">
        <v>7100</v>
      </c>
      <c r="F10" s="44">
        <v>0</v>
      </c>
      <c r="G10" s="44">
        <v>0</v>
      </c>
      <c r="H10" s="44">
        <v>0</v>
      </c>
      <c r="I10" s="44">
        <v>7100</v>
      </c>
      <c r="J10" s="44">
        <v>860</v>
      </c>
      <c r="K10" s="44">
        <v>2000</v>
      </c>
    </row>
    <row r="11" spans="1:11" ht="15" customHeight="1" x14ac:dyDescent="0.2">
      <c r="A11" s="5" t="s">
        <v>732</v>
      </c>
      <c r="B11" s="44">
        <v>0</v>
      </c>
      <c r="C11" s="44">
        <v>0</v>
      </c>
      <c r="D11" s="44">
        <v>3169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</row>
    <row r="12" spans="1:11" ht="15" customHeight="1" x14ac:dyDescent="0.2">
      <c r="A12" s="5" t="s">
        <v>733</v>
      </c>
      <c r="B12" s="44">
        <v>0</v>
      </c>
      <c r="C12" s="44">
        <v>0</v>
      </c>
      <c r="D12" s="44">
        <v>-104283</v>
      </c>
      <c r="E12" s="44">
        <v>-36215</v>
      </c>
      <c r="F12" s="44">
        <v>-22117</v>
      </c>
      <c r="G12" s="44">
        <v>-17254</v>
      </c>
      <c r="H12" s="44">
        <v>0</v>
      </c>
      <c r="I12" s="44">
        <v>-113660</v>
      </c>
      <c r="J12" s="44">
        <v>0</v>
      </c>
      <c r="K12" s="44">
        <v>-83565</v>
      </c>
    </row>
    <row r="13" spans="1:11" ht="15" customHeight="1" x14ac:dyDescent="0.2">
      <c r="A13" s="5" t="s">
        <v>734</v>
      </c>
      <c r="B13" s="44">
        <v>-15493</v>
      </c>
      <c r="C13" s="44">
        <v>24719</v>
      </c>
      <c r="D13" s="44">
        <v>-2426</v>
      </c>
      <c r="E13" s="44">
        <v>429</v>
      </c>
      <c r="F13" s="44">
        <v>21375</v>
      </c>
      <c r="G13" s="44">
        <v>12511</v>
      </c>
      <c r="H13" s="44">
        <v>-146200</v>
      </c>
      <c r="I13" s="44">
        <v>-33962</v>
      </c>
      <c r="J13" s="44">
        <v>-6559</v>
      </c>
      <c r="K13" s="44">
        <v>-15733</v>
      </c>
    </row>
    <row r="15" spans="1:11" ht="15" customHeight="1" x14ac:dyDescent="0.2">
      <c r="A15" s="7" t="s">
        <v>735</v>
      </c>
      <c r="B15" s="13">
        <f t="shared" ref="B15:K15" si="0">SUM(B8:B13)</f>
        <v>55507</v>
      </c>
      <c r="C15" s="13">
        <f t="shared" si="0"/>
        <v>80226</v>
      </c>
      <c r="D15" s="13">
        <f t="shared" si="0"/>
        <v>37163</v>
      </c>
      <c r="E15" s="13">
        <f t="shared" si="0"/>
        <v>46867</v>
      </c>
      <c r="F15" s="13">
        <f t="shared" si="0"/>
        <v>128100</v>
      </c>
      <c r="G15" s="13">
        <f t="shared" si="0"/>
        <v>201319</v>
      </c>
      <c r="H15" s="13">
        <f t="shared" si="0"/>
        <v>135196</v>
      </c>
      <c r="I15" s="13">
        <f t="shared" si="0"/>
        <v>44621</v>
      </c>
      <c r="J15" s="13">
        <f t="shared" si="0"/>
        <v>91114</v>
      </c>
      <c r="K15" s="13">
        <f t="shared" si="0"/>
        <v>67882</v>
      </c>
    </row>
    <row r="16" spans="1:11" ht="15" customHeight="1" x14ac:dyDescent="0.2">
      <c r="A16" s="5" t="s">
        <v>736</v>
      </c>
      <c r="B16" s="44">
        <v>55507</v>
      </c>
      <c r="C16" s="44">
        <v>80226</v>
      </c>
      <c r="D16" s="44">
        <v>37163</v>
      </c>
      <c r="E16" s="44">
        <v>46867</v>
      </c>
      <c r="F16" s="44">
        <v>128100</v>
      </c>
      <c r="G16" s="44">
        <v>201319</v>
      </c>
      <c r="H16" s="44">
        <v>135196</v>
      </c>
      <c r="I16" s="44">
        <v>44621</v>
      </c>
      <c r="J16" s="44">
        <v>91114</v>
      </c>
      <c r="K16" s="44">
        <v>67882</v>
      </c>
    </row>
    <row r="17" spans="1:11" ht="15" customHeight="1" x14ac:dyDescent="0.2">
      <c r="A17" s="5" t="s">
        <v>737</v>
      </c>
      <c r="B17" s="22">
        <f t="shared" ref="B17:K17" si="1">B15-B16</f>
        <v>0</v>
      </c>
      <c r="C17" s="22">
        <f t="shared" si="1"/>
        <v>0</v>
      </c>
      <c r="D17" s="22">
        <f t="shared" si="1"/>
        <v>0</v>
      </c>
      <c r="E17" s="22">
        <f t="shared" si="1"/>
        <v>0</v>
      </c>
      <c r="F17" s="22">
        <f t="shared" si="1"/>
        <v>0</v>
      </c>
      <c r="G17" s="22">
        <f t="shared" si="1"/>
        <v>0</v>
      </c>
      <c r="H17" s="22">
        <f t="shared" si="1"/>
        <v>0</v>
      </c>
      <c r="I17" s="22">
        <f t="shared" si="1"/>
        <v>0</v>
      </c>
      <c r="J17" s="22">
        <f t="shared" si="1"/>
        <v>0</v>
      </c>
      <c r="K17" s="22">
        <f t="shared" si="1"/>
        <v>0</v>
      </c>
    </row>
    <row r="19" spans="1:11" ht="15" customHeight="1" x14ac:dyDescent="0.2">
      <c r="A19" s="18" t="s">
        <v>738</v>
      </c>
    </row>
    <row r="21" spans="1:11" ht="15" customHeight="1" x14ac:dyDescent="0.2">
      <c r="A21" s="7" t="s">
        <v>739</v>
      </c>
      <c r="B21" s="44">
        <v>0</v>
      </c>
      <c r="C21" s="44">
        <v>0</v>
      </c>
      <c r="D21" s="44">
        <v>61028</v>
      </c>
      <c r="E21" s="44">
        <v>39327</v>
      </c>
      <c r="F21" s="44">
        <v>43620</v>
      </c>
      <c r="G21" s="44">
        <v>55528</v>
      </c>
      <c r="H21" s="44">
        <v>39813</v>
      </c>
      <c r="I21" s="44">
        <v>61293</v>
      </c>
      <c r="J21" s="44">
        <v>68504</v>
      </c>
      <c r="K21" s="44">
        <v>73713</v>
      </c>
    </row>
    <row r="23" spans="1:11" ht="15" customHeight="1" x14ac:dyDescent="0.2">
      <c r="A23" s="18" t="s">
        <v>740</v>
      </c>
    </row>
    <row r="25" spans="1:11" ht="15" customHeight="1" x14ac:dyDescent="0.2">
      <c r="A25" s="5" t="s">
        <v>741</v>
      </c>
      <c r="B25" s="11">
        <f t="shared" ref="B25:K25" si="2">B15</f>
        <v>55507</v>
      </c>
      <c r="C25" s="11">
        <f t="shared" si="2"/>
        <v>80226</v>
      </c>
      <c r="D25" s="11">
        <f t="shared" si="2"/>
        <v>37163</v>
      </c>
      <c r="E25" s="11">
        <f t="shared" si="2"/>
        <v>46867</v>
      </c>
      <c r="F25" s="11">
        <f t="shared" si="2"/>
        <v>128100</v>
      </c>
      <c r="G25" s="11">
        <f t="shared" si="2"/>
        <v>201319</v>
      </c>
      <c r="H25" s="11">
        <f t="shared" si="2"/>
        <v>135196</v>
      </c>
      <c r="I25" s="11">
        <f t="shared" si="2"/>
        <v>44621</v>
      </c>
      <c r="J25" s="11">
        <f t="shared" si="2"/>
        <v>91114</v>
      </c>
      <c r="K25" s="11">
        <f t="shared" si="2"/>
        <v>67882</v>
      </c>
    </row>
    <row r="26" spans="1:11" ht="15" customHeight="1" x14ac:dyDescent="0.2">
      <c r="A26" s="5" t="s">
        <v>742</v>
      </c>
      <c r="B26" s="11">
        <f t="shared" ref="B26:K26" si="3">B21</f>
        <v>0</v>
      </c>
      <c r="C26" s="11">
        <f t="shared" si="3"/>
        <v>0</v>
      </c>
      <c r="D26" s="11">
        <f t="shared" si="3"/>
        <v>61028</v>
      </c>
      <c r="E26" s="11">
        <f t="shared" si="3"/>
        <v>39327</v>
      </c>
      <c r="F26" s="11">
        <f t="shared" si="3"/>
        <v>43620</v>
      </c>
      <c r="G26" s="11">
        <f t="shared" si="3"/>
        <v>55528</v>
      </c>
      <c r="H26" s="11">
        <f t="shared" si="3"/>
        <v>39813</v>
      </c>
      <c r="I26" s="11">
        <f t="shared" si="3"/>
        <v>61293</v>
      </c>
      <c r="J26" s="11">
        <f t="shared" si="3"/>
        <v>68504</v>
      </c>
      <c r="K26" s="11">
        <f t="shared" si="3"/>
        <v>73713</v>
      </c>
    </row>
    <row r="27" spans="1:11" ht="15" customHeight="1" x14ac:dyDescent="0.2">
      <c r="A27" s="7" t="s">
        <v>743</v>
      </c>
      <c r="B27" s="13">
        <f t="shared" ref="B27:K27" si="4">B25+B26</f>
        <v>55507</v>
      </c>
      <c r="C27" s="13">
        <f t="shared" si="4"/>
        <v>80226</v>
      </c>
      <c r="D27" s="13">
        <f t="shared" si="4"/>
        <v>98191</v>
      </c>
      <c r="E27" s="13">
        <f t="shared" si="4"/>
        <v>86194</v>
      </c>
      <c r="F27" s="13">
        <f t="shared" si="4"/>
        <v>171720</v>
      </c>
      <c r="G27" s="13">
        <f t="shared" si="4"/>
        <v>256847</v>
      </c>
      <c r="H27" s="13">
        <f t="shared" si="4"/>
        <v>175009</v>
      </c>
      <c r="I27" s="13">
        <f t="shared" si="4"/>
        <v>105914</v>
      </c>
      <c r="J27" s="13">
        <f t="shared" si="4"/>
        <v>159618</v>
      </c>
      <c r="K27" s="13">
        <f t="shared" si="4"/>
        <v>141595</v>
      </c>
    </row>
    <row r="28" spans="1:11" ht="15" customHeight="1" x14ac:dyDescent="0.2">
      <c r="A28" s="5" t="s">
        <v>744</v>
      </c>
      <c r="B28" s="20">
        <f>IF(BS!B8=0,"",B27/BS!B8)</f>
        <v>2.8570487371635606E-2</v>
      </c>
      <c r="C28" s="20">
        <f>IF(BS!C8=0,"",C27/BS!C8)</f>
        <v>3.5190500065138353E-2</v>
      </c>
      <c r="D28" s="20">
        <f>IF(BS!D8=0,"",D27/BS!D8)</f>
        <v>3.5072059686544206E-2</v>
      </c>
      <c r="E28" s="20">
        <f>IF(BS!E8=0,"",E27/BS!E8)</f>
        <v>2.5957325835902142E-2</v>
      </c>
      <c r="F28" s="20">
        <f>IF(BS!F8=0,"",F27/BS!F8)</f>
        <v>4.5890904076465601E-2</v>
      </c>
      <c r="G28" s="20">
        <f>IF(BS!G8=0,"",G27/BS!G8)</f>
        <v>5.6563302639556189E-2</v>
      </c>
      <c r="H28" s="20">
        <f>IF(BS!H8=0,"",H27/BS!H8)</f>
        <v>3.6363232138623643E-2</v>
      </c>
      <c r="I28" s="20">
        <f>IF(BS!I8=0,"",I27/BS!I8)</f>
        <v>2.1065649708839205E-2</v>
      </c>
      <c r="J28" s="20">
        <f>IF(BS!J8=0,"",J27/BS!J8)</f>
        <v>2.9642766940528014E-2</v>
      </c>
      <c r="K28" s="20">
        <f>IF(BS!K8=0,"",K27/BS!K8)</f>
        <v>2.5985425625470727E-2</v>
      </c>
    </row>
    <row r="30" spans="1:11" ht="15" customHeight="1" x14ac:dyDescent="0.2">
      <c r="A30" s="18" t="s">
        <v>745</v>
      </c>
    </row>
    <row r="32" spans="1:11" ht="15" customHeight="1" x14ac:dyDescent="0.2">
      <c r="A32" s="5" t="s">
        <v>746</v>
      </c>
      <c r="B32" s="11">
        <f t="shared" ref="B32:K32" si="5">B9</f>
        <v>25324</v>
      </c>
      <c r="C32" s="11">
        <f t="shared" si="5"/>
        <v>0</v>
      </c>
      <c r="D32" s="11">
        <f t="shared" si="5"/>
        <v>60477</v>
      </c>
      <c r="E32" s="11">
        <f t="shared" si="5"/>
        <v>38390</v>
      </c>
      <c r="F32" s="11">
        <f t="shared" si="5"/>
        <v>81975</v>
      </c>
      <c r="G32" s="11">
        <f t="shared" si="5"/>
        <v>77962</v>
      </c>
      <c r="H32" s="11">
        <f t="shared" si="5"/>
        <v>80077</v>
      </c>
      <c r="I32" s="11">
        <f t="shared" si="5"/>
        <v>49947</v>
      </c>
      <c r="J32" s="11">
        <f t="shared" si="5"/>
        <v>52192</v>
      </c>
      <c r="K32" s="11">
        <f t="shared" si="5"/>
        <v>74066</v>
      </c>
    </row>
    <row r="33" spans="1:11" ht="15" customHeight="1" x14ac:dyDescent="0.2">
      <c r="A33" s="5" t="s">
        <v>747</v>
      </c>
      <c r="B33" s="22">
        <f>B32</f>
        <v>25324</v>
      </c>
      <c r="C33" s="22">
        <f t="shared" ref="C33:K33" si="6">B33+C32</f>
        <v>25324</v>
      </c>
      <c r="D33" s="22">
        <f t="shared" si="6"/>
        <v>85801</v>
      </c>
      <c r="E33" s="22">
        <f t="shared" si="6"/>
        <v>124191</v>
      </c>
      <c r="F33" s="22">
        <f t="shared" si="6"/>
        <v>206166</v>
      </c>
      <c r="G33" s="22">
        <f t="shared" si="6"/>
        <v>284128</v>
      </c>
      <c r="H33" s="22">
        <f t="shared" si="6"/>
        <v>364205</v>
      </c>
      <c r="I33" s="22">
        <f t="shared" si="6"/>
        <v>414152</v>
      </c>
      <c r="J33" s="22">
        <f t="shared" si="6"/>
        <v>466344</v>
      </c>
      <c r="K33" s="22">
        <f t="shared" si="6"/>
        <v>540410</v>
      </c>
    </row>
    <row r="35" spans="1:11" ht="15" customHeight="1" x14ac:dyDescent="0.2">
      <c r="A35" s="18" t="s">
        <v>748</v>
      </c>
    </row>
    <row r="37" spans="1:11" ht="15" customHeight="1" x14ac:dyDescent="0.2">
      <c r="A37" s="5" t="s">
        <v>749</v>
      </c>
      <c r="B37" s="22">
        <f t="shared" ref="B37:K37" si="7">-B12</f>
        <v>0</v>
      </c>
      <c r="C37" s="22">
        <f t="shared" si="7"/>
        <v>0</v>
      </c>
      <c r="D37" s="22">
        <f t="shared" si="7"/>
        <v>104283</v>
      </c>
      <c r="E37" s="22">
        <f t="shared" si="7"/>
        <v>36215</v>
      </c>
      <c r="F37" s="22">
        <f t="shared" si="7"/>
        <v>22117</v>
      </c>
      <c r="G37" s="22">
        <f t="shared" si="7"/>
        <v>17254</v>
      </c>
      <c r="H37" s="22">
        <f t="shared" si="7"/>
        <v>0</v>
      </c>
      <c r="I37" s="22">
        <f t="shared" si="7"/>
        <v>113660</v>
      </c>
      <c r="J37" s="22">
        <f t="shared" si="7"/>
        <v>0</v>
      </c>
      <c r="K37" s="22">
        <f t="shared" si="7"/>
        <v>83565</v>
      </c>
    </row>
    <row r="38" spans="1:11" ht="15" customHeight="1" x14ac:dyDescent="0.2">
      <c r="A38" s="5" t="s">
        <v>750</v>
      </c>
      <c r="B38" s="22">
        <f>B37</f>
        <v>0</v>
      </c>
      <c r="C38" s="22">
        <f t="shared" ref="C38:K38" si="8">B38+C37</f>
        <v>0</v>
      </c>
      <c r="D38" s="22">
        <f t="shared" si="8"/>
        <v>104283</v>
      </c>
      <c r="E38" s="22">
        <f t="shared" si="8"/>
        <v>140498</v>
      </c>
      <c r="F38" s="22">
        <f t="shared" si="8"/>
        <v>162615</v>
      </c>
      <c r="G38" s="22">
        <f t="shared" si="8"/>
        <v>179869</v>
      </c>
      <c r="H38" s="22">
        <f t="shared" si="8"/>
        <v>179869</v>
      </c>
      <c r="I38" s="22">
        <f t="shared" si="8"/>
        <v>293529</v>
      </c>
      <c r="J38" s="22">
        <f t="shared" si="8"/>
        <v>293529</v>
      </c>
      <c r="K38" s="22">
        <f t="shared" si="8"/>
        <v>377094</v>
      </c>
    </row>
    <row r="39" spans="1:11" ht="15" customHeight="1" x14ac:dyDescent="0.2">
      <c r="A39" s="5" t="s">
        <v>751</v>
      </c>
      <c r="B39" s="11">
        <f t="shared" ref="B39:K39" si="9">B33</f>
        <v>25324</v>
      </c>
      <c r="C39" s="11">
        <f t="shared" si="9"/>
        <v>25324</v>
      </c>
      <c r="D39" s="11">
        <f t="shared" si="9"/>
        <v>85801</v>
      </c>
      <c r="E39" s="11">
        <f t="shared" si="9"/>
        <v>124191</v>
      </c>
      <c r="F39" s="11">
        <f t="shared" si="9"/>
        <v>206166</v>
      </c>
      <c r="G39" s="11">
        <f t="shared" si="9"/>
        <v>284128</v>
      </c>
      <c r="H39" s="11">
        <f t="shared" si="9"/>
        <v>364205</v>
      </c>
      <c r="I39" s="11">
        <f t="shared" si="9"/>
        <v>414152</v>
      </c>
      <c r="J39" s="11">
        <f t="shared" si="9"/>
        <v>466344</v>
      </c>
      <c r="K39" s="11">
        <f t="shared" si="9"/>
        <v>540410</v>
      </c>
    </row>
    <row r="41" spans="1:11" ht="15" customHeight="1" x14ac:dyDescent="0.2">
      <c r="A41" s="18" t="s">
        <v>752</v>
      </c>
    </row>
    <row r="43" spans="1:11" ht="15" customHeight="1" x14ac:dyDescent="0.2">
      <c r="A43" s="7" t="s">
        <v>753</v>
      </c>
      <c r="C43" s="5" t="s">
        <v>754</v>
      </c>
    </row>
    <row r="44" spans="1:11" ht="15" customHeight="1" x14ac:dyDescent="0.2">
      <c r="A44" s="7" t="s">
        <v>755</v>
      </c>
      <c r="C44" s="5" t="s">
        <v>756</v>
      </c>
    </row>
    <row r="45" spans="1:11" ht="15" customHeight="1" x14ac:dyDescent="0.2">
      <c r="A45" s="7" t="s">
        <v>757</v>
      </c>
      <c r="C45" s="5" t="s">
        <v>758</v>
      </c>
    </row>
    <row r="46" spans="1:11" ht="15" customHeight="1" x14ac:dyDescent="0.2">
      <c r="A46" s="7" t="s">
        <v>759</v>
      </c>
      <c r="C46" s="5" t="s">
        <v>760</v>
      </c>
    </row>
    <row r="47" spans="1:11" ht="15" customHeight="1" x14ac:dyDescent="0.2">
      <c r="A47" s="7" t="s">
        <v>761</v>
      </c>
      <c r="C47" s="5" t="s">
        <v>762</v>
      </c>
    </row>
    <row r="48" spans="1:11" ht="15" customHeight="1" x14ac:dyDescent="0.2">
      <c r="A48" s="7" t="s">
        <v>763</v>
      </c>
      <c r="C48" s="5" t="s">
        <v>764</v>
      </c>
    </row>
    <row r="49" spans="1:3" ht="15" customHeight="1" x14ac:dyDescent="0.2">
      <c r="A49" s="7" t="s">
        <v>765</v>
      </c>
      <c r="C49" s="5" t="s">
        <v>766</v>
      </c>
    </row>
    <row r="51" spans="1:3" ht="15" customHeight="1" x14ac:dyDescent="0.2">
      <c r="A51" s="18" t="s">
        <v>767</v>
      </c>
    </row>
    <row r="53" spans="1:3" ht="15" customHeight="1" x14ac:dyDescent="0.2">
      <c r="A53" s="5" t="s">
        <v>768</v>
      </c>
    </row>
    <row r="54" spans="1:3" ht="15" customHeight="1" x14ac:dyDescent="0.2">
      <c r="A54" s="5" t="s">
        <v>769</v>
      </c>
    </row>
    <row r="55" spans="1:3" ht="15" customHeight="1" x14ac:dyDescent="0.2">
      <c r="A55" s="5" t="s">
        <v>770</v>
      </c>
    </row>
    <row r="56" spans="1:3" ht="15" customHeight="1" x14ac:dyDescent="0.2">
      <c r="A56" s="5" t="s">
        <v>771</v>
      </c>
    </row>
    <row r="58" spans="1:3" ht="15" customHeight="1" x14ac:dyDescent="0.2">
      <c r="A58" s="7" t="s">
        <v>772</v>
      </c>
    </row>
    <row r="59" spans="1:3" ht="15" customHeight="1" x14ac:dyDescent="0.2">
      <c r="A59" s="5" t="s">
        <v>773</v>
      </c>
    </row>
    <row r="60" spans="1:3" ht="15" customHeight="1" x14ac:dyDescent="0.2">
      <c r="A60" s="5" t="s">
        <v>774</v>
      </c>
    </row>
    <row r="61" spans="1:3" ht="15" customHeight="1" x14ac:dyDescent="0.2">
      <c r="A61" s="5" t="s">
        <v>775</v>
      </c>
    </row>
    <row r="62" spans="1:3" ht="15" customHeight="1" x14ac:dyDescent="0.2">
      <c r="A62" s="5" t="s">
        <v>776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Dashboard</vt:lpstr>
      <vt:lpstr>Assumptions</vt:lpstr>
      <vt:lpstr>Ops</vt:lpstr>
      <vt:lpstr>IS</vt:lpstr>
      <vt:lpstr>CFS</vt:lpstr>
      <vt:lpstr>BS</vt:lpstr>
      <vt:lpstr>Return Profile</vt:lpstr>
      <vt:lpstr>Debt Maturity</vt:lpstr>
      <vt:lpstr>Development</vt:lpstr>
      <vt:lpstr>Amplification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Josh Varghese</cp:lastModifiedBy>
  <cp:revision>0</cp:revision>
  <dcterms:created xsi:type="dcterms:W3CDTF">2026-03-12T03:22:33Z</dcterms:created>
  <dcterms:modified xsi:type="dcterms:W3CDTF">2026-03-18T16:43:09Z</dcterms:modified>
  <dc:language>en-US</dc:language>
</cp:coreProperties>
</file>